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AMIN - NRM-GB- Docoment\Document 2018\proposal2018\پروپوزل فارسی\"/>
    </mc:Choice>
  </mc:AlternateContent>
  <bookViews>
    <workbookView xWindow="0" yWindow="0" windowWidth="11490" windowHeight="4650" tabRatio="872" activeTab="5"/>
  </bookViews>
  <sheets>
    <sheet name="Nursery Comb (2)" sheetId="94" r:id="rId1"/>
    <sheet name="N.Bi Bi Mehro" sheetId="92" r:id="rId2"/>
    <sheet name="N.J.Markaz" sheetId="91" r:id="rId3"/>
    <sheet name="N.Paghman" sheetId="90" r:id="rId4"/>
    <sheet name="N.Qargha" sheetId="89" r:id="rId5"/>
    <sheet name="N.DahMorad" sheetId="88" r:id="rId6"/>
    <sheet name="N.Ghuzargha2" sheetId="87" r:id="rId7"/>
    <sheet name="N.Ghuzargha1" sheetId="86" r:id="rId8"/>
    <sheet name="تپه مرنجان" sheetId="82" r:id="rId9"/>
    <sheet name="بادام باغ 1" sheetId="81" r:id="rId10"/>
    <sheet name="بنی حصار" sheetId="79" r:id="rId11"/>
    <sheet name="کوه تلویزیون" sheetId="78" r:id="rId12"/>
    <sheet name="شیردروازه" sheetId="77" r:id="rId13"/>
    <sheet name="قصبه" sheetId="76" r:id="rId14"/>
    <sheet name="تپه قرغه" sheetId="63" r:id="rId15"/>
    <sheet name="هرات" sheetId="60" state="hidden" r:id="rId16"/>
    <sheet name="بادام باغ" sheetId="57" r:id="rId17"/>
    <sheet name="تنگی غارو" sheetId="56" r:id="rId18"/>
    <sheet name="کوه قرغ" sheetId="55" state="hidden" r:id="rId19"/>
    <sheet name="منشی میرغلام وغیبی بابا" sheetId="54" state="hidden" r:id="rId20"/>
    <sheet name="کافر کوه" sheetId="53" state="hidden" r:id="rId21"/>
    <sheet name="چمتله" sheetId="52" state="hidden" r:id="rId22"/>
    <sheet name="قلعه مسلم" sheetId="12" state="hidden" r:id="rId23"/>
    <sheet name="Badam Bagh 3" sheetId="4" state="hidden" r:id="rId24"/>
    <sheet name="Dashte Chamtala 4" sheetId="3" state="hidden" r:id="rId25"/>
    <sheet name="Binihesar 5" sheetId="19" state="hidden" r:id="rId26"/>
    <sheet name="Koe Qurugh 6" sheetId="20" state="hidden" r:id="rId27"/>
    <sheet name="Shiwaki 7" sheetId="21" state="hidden" r:id="rId28"/>
    <sheet name="Qasaba East 8" sheetId="22" state="hidden" r:id="rId29"/>
    <sheet name="منشی میرغلام" sheetId="95" r:id="rId30"/>
    <sheet name="کلوله پشته" sheetId="84" r:id="rId31"/>
    <sheet name="تنگی غارو1" sheetId="83" r:id="rId32"/>
    <sheet name="Nursery Combain Plan" sheetId="85" r:id="rId33"/>
    <sheet name="Combain plan" sheetId="7" r:id="rId34"/>
    <sheet name="Financial Plan 1397" sheetId="8" r:id="rId35"/>
    <sheet name="Annual Workplan" sheetId="35" r:id="rId36"/>
    <sheet name="FP monthly base 1397" sheetId="30" r:id="rId37"/>
    <sheet name="Maintenance Plan" sheetId="32" state="hidden" r:id="rId38"/>
    <sheet name="Labour Analysis" sheetId="33" state="hidden" r:id="rId39"/>
  </sheets>
  <definedNames>
    <definedName name="_xlnm.Print_Area" localSheetId="35">'Annual Workplan'!$A$1:$O$89</definedName>
    <definedName name="_xlnm.Print_Area" localSheetId="33">'Combain plan'!$A$1:$M$46</definedName>
    <definedName name="_xlnm.Print_Area" localSheetId="34">'Financial Plan 1397'!$A$1:$J$83</definedName>
    <definedName name="_xlnm.Print_Area" localSheetId="36">'FP monthly base 1397'!$A$1:$Q$87</definedName>
    <definedName name="_xlnm.Print_Area" localSheetId="1">'N.Bi Bi Mehro'!$A$1:$L$30</definedName>
    <definedName name="_xlnm.Print_Area" localSheetId="5">N.DahMorad!$A$1:$L$30</definedName>
    <definedName name="_xlnm.Print_Area" localSheetId="7">N.Ghuzargha1!$A$1:$L$30</definedName>
    <definedName name="_xlnm.Print_Area" localSheetId="6">N.Ghuzargha2!$A$1:$L$30</definedName>
    <definedName name="_xlnm.Print_Area" localSheetId="2">N.J.Markaz!$A$1:$L$30</definedName>
    <definedName name="_xlnm.Print_Area" localSheetId="3">N.Paghman!$A$1:$L$30</definedName>
    <definedName name="_xlnm.Print_Area" localSheetId="4">N.Qargha!$A$1:$L$30</definedName>
    <definedName name="_xlnm.Print_Area" localSheetId="32">'Nursery Combain Plan'!$A$1:$M$21</definedName>
    <definedName name="_xlnm.Print_Area" localSheetId="16">'بادام باغ'!$A$1:$L$36</definedName>
    <definedName name="_xlnm.Print_Area" localSheetId="9">'بادام باغ 1'!$A$1:$L$32</definedName>
    <definedName name="_xlnm.Print_Area" localSheetId="10">'بنی حصار'!$A$1:$L$35</definedName>
    <definedName name="_xlnm.Print_Area" localSheetId="14">'تپه قرغه'!$A$1:$L$35</definedName>
    <definedName name="_xlnm.Print_Area" localSheetId="8">'تپه مرنجان'!$A$1:$L$32</definedName>
    <definedName name="_xlnm.Print_Area" localSheetId="17">'تنگی غارو'!$A$1:$L$37</definedName>
    <definedName name="_xlnm.Print_Area" localSheetId="21">چمتله!$A$1:$L$40</definedName>
    <definedName name="_xlnm.Print_Area" localSheetId="12">شیردروازه!$A$1:$L$35</definedName>
    <definedName name="_xlnm.Print_Area" localSheetId="13">قصبه!$A$1:$L$35</definedName>
    <definedName name="_xlnm.Print_Area" localSheetId="22">'قلعه مسلم'!$A$1:$L$40</definedName>
    <definedName name="_xlnm.Print_Area" localSheetId="20">'کافر کوه'!$A$1:$L$40</definedName>
    <definedName name="_xlnm.Print_Area" localSheetId="30">'کلوله پشته'!$A$1:$L$32</definedName>
    <definedName name="_xlnm.Print_Area" localSheetId="11">'کوه تلویزیون'!$A$1:$L$33</definedName>
    <definedName name="_xlnm.Print_Area" localSheetId="18">'کوه قرغ'!$A$1:$L$40</definedName>
    <definedName name="_xlnm.Print_Area" localSheetId="29">'منشی میرغلام'!$A$1:$L$36</definedName>
    <definedName name="_xlnm.Print_Area" localSheetId="19">'منشی میرغلام وغیبی بابا'!$A$1:$L$38</definedName>
    <definedName name="_xlnm.Print_Area" localSheetId="15">هرات!$A$1:$L$40</definedName>
  </definedNames>
  <calcPr calcId="162913"/>
</workbook>
</file>

<file path=xl/calcChain.xml><?xml version="1.0" encoding="utf-8"?>
<calcChain xmlns="http://schemas.openxmlformats.org/spreadsheetml/2006/main">
  <c r="G4" i="8" l="1"/>
  <c r="I40" i="7" l="1"/>
  <c r="J40" i="7"/>
  <c r="K40" i="7"/>
  <c r="I39" i="7"/>
  <c r="J39" i="7"/>
  <c r="K39" i="7"/>
  <c r="H25" i="7" l="1"/>
  <c r="A35" i="30" l="1"/>
  <c r="A36" i="30"/>
  <c r="A37" i="30"/>
  <c r="A38" i="30"/>
  <c r="A39" i="30"/>
  <c r="A40" i="30"/>
  <c r="A34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9" i="30"/>
  <c r="C9" i="30"/>
  <c r="B10" i="30"/>
  <c r="C10" i="30"/>
  <c r="B11" i="30"/>
  <c r="C11" i="30"/>
  <c r="B12" i="30"/>
  <c r="C12" i="30"/>
  <c r="B13" i="30"/>
  <c r="C13" i="30"/>
  <c r="B14" i="30"/>
  <c r="C14" i="30"/>
  <c r="C8" i="30"/>
  <c r="B66" i="30"/>
  <c r="B17" i="30"/>
  <c r="B8" i="30"/>
  <c r="E67" i="35"/>
  <c r="E68" i="35"/>
  <c r="E69" i="35"/>
  <c r="E70" i="35"/>
  <c r="E71" i="35"/>
  <c r="E72" i="35"/>
  <c r="E73" i="35"/>
  <c r="E74" i="35"/>
  <c r="E75" i="35"/>
  <c r="E76" i="35"/>
  <c r="E77" i="35"/>
  <c r="E78" i="35"/>
  <c r="E66" i="35"/>
  <c r="D67" i="35"/>
  <c r="D68" i="35"/>
  <c r="D69" i="35"/>
  <c r="D70" i="35"/>
  <c r="D71" i="35"/>
  <c r="D72" i="35"/>
  <c r="D73" i="35"/>
  <c r="D74" i="35"/>
  <c r="D75" i="35"/>
  <c r="D76" i="35"/>
  <c r="D77" i="35"/>
  <c r="D78" i="35"/>
  <c r="D66" i="35"/>
  <c r="E43" i="35"/>
  <c r="E48" i="35"/>
  <c r="D54" i="35"/>
  <c r="D58" i="35"/>
  <c r="D41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14" i="35"/>
  <c r="D15" i="35"/>
  <c r="D16" i="35"/>
  <c r="D17" i="35"/>
  <c r="D18" i="35"/>
  <c r="D19" i="35"/>
  <c r="D20" i="35"/>
  <c r="D21" i="35"/>
  <c r="D22" i="35"/>
  <c r="D23" i="35"/>
  <c r="D24" i="35"/>
  <c r="D25" i="35"/>
  <c r="D26" i="35"/>
  <c r="D27" i="35"/>
  <c r="D28" i="35"/>
  <c r="D14" i="35"/>
  <c r="E5" i="35"/>
  <c r="E6" i="35"/>
  <c r="E7" i="35"/>
  <c r="E8" i="35"/>
  <c r="E9" i="35"/>
  <c r="E10" i="35"/>
  <c r="E4" i="35"/>
  <c r="D10" i="35"/>
  <c r="D9" i="35"/>
  <c r="D8" i="35"/>
  <c r="D7" i="35"/>
  <c r="D6" i="35"/>
  <c r="D5" i="35"/>
  <c r="D4" i="35"/>
  <c r="B40" i="8"/>
  <c r="D42" i="35" s="1"/>
  <c r="B41" i="8"/>
  <c r="D43" i="35" s="1"/>
  <c r="B42" i="8"/>
  <c r="D44" i="35" s="1"/>
  <c r="B43" i="8"/>
  <c r="D45" i="35" s="1"/>
  <c r="B44" i="8"/>
  <c r="D46" i="35" s="1"/>
  <c r="B45" i="8"/>
  <c r="D47" i="35" s="1"/>
  <c r="B46" i="8"/>
  <c r="D48" i="35" s="1"/>
  <c r="B47" i="8"/>
  <c r="D49" i="35" s="1"/>
  <c r="B39" i="8"/>
  <c r="B43" i="30" s="1"/>
  <c r="B32" i="8"/>
  <c r="D33" i="35" s="1"/>
  <c r="B55" i="8"/>
  <c r="B56" i="8"/>
  <c r="D59" i="35" s="1"/>
  <c r="B57" i="8"/>
  <c r="D60" i="35" s="1"/>
  <c r="B58" i="8"/>
  <c r="D61" i="35" s="1"/>
  <c r="B59" i="8"/>
  <c r="D62" i="35" s="1"/>
  <c r="B54" i="8"/>
  <c r="D57" i="35" s="1"/>
  <c r="B53" i="8"/>
  <c r="D56" i="35" s="1"/>
  <c r="B52" i="8"/>
  <c r="D55" i="35" s="1"/>
  <c r="B51" i="8"/>
  <c r="B50" i="8"/>
  <c r="B54" i="30" s="1"/>
  <c r="B7" i="7"/>
  <c r="B31" i="8" s="1"/>
  <c r="D32" i="35" s="1"/>
  <c r="B8" i="7"/>
  <c r="B9" i="7"/>
  <c r="B33" i="8" s="1"/>
  <c r="D34" i="35" s="1"/>
  <c r="B10" i="7"/>
  <c r="B34" i="8" s="1"/>
  <c r="D35" i="35" s="1"/>
  <c r="B11" i="7"/>
  <c r="B35" i="8" s="1"/>
  <c r="D36" i="35" s="1"/>
  <c r="B12" i="7"/>
  <c r="B36" i="8" s="1"/>
  <c r="D37" i="35" s="1"/>
  <c r="B6" i="7"/>
  <c r="B30" i="8" s="1"/>
  <c r="B34" i="30" l="1"/>
  <c r="D31" i="35"/>
  <c r="D53" i="35"/>
  <c r="C11" i="7"/>
  <c r="E52" i="8" l="1"/>
  <c r="G17" i="35" l="1"/>
  <c r="H16" i="8" l="1"/>
  <c r="I16" i="8" s="1"/>
  <c r="G16" i="8"/>
  <c r="E28" i="8" l="1"/>
  <c r="E59" i="8" l="1"/>
  <c r="F37" i="7"/>
  <c r="F59" i="8" s="1"/>
  <c r="G62" i="35" s="1"/>
  <c r="F23" i="84"/>
  <c r="F18" i="84"/>
  <c r="E62" i="35" l="1"/>
  <c r="F11" i="84"/>
  <c r="F18" i="83"/>
  <c r="D6" i="83"/>
  <c r="D18" i="83" s="1"/>
  <c r="D11" i="83" l="1"/>
  <c r="D23" i="83"/>
  <c r="D16" i="7" l="1"/>
  <c r="D39" i="8" s="1"/>
  <c r="H74" i="8" l="1"/>
  <c r="F30" i="95"/>
  <c r="F29" i="95"/>
  <c r="D29" i="95"/>
  <c r="F28" i="95"/>
  <c r="D28" i="95"/>
  <c r="F27" i="95"/>
  <c r="D27" i="95"/>
  <c r="F23" i="95"/>
  <c r="D23" i="95"/>
  <c r="G23" i="95" s="1"/>
  <c r="J23" i="95" s="1"/>
  <c r="K23" i="95" s="1"/>
  <c r="F22" i="95"/>
  <c r="D22" i="95"/>
  <c r="G22" i="95" s="1"/>
  <c r="F21" i="95"/>
  <c r="D21" i="95"/>
  <c r="G21" i="95" s="1"/>
  <c r="J21" i="95" s="1"/>
  <c r="K21" i="95" s="1"/>
  <c r="F20" i="95"/>
  <c r="D20" i="95"/>
  <c r="G20" i="95" s="1"/>
  <c r="F16" i="95"/>
  <c r="D16" i="95"/>
  <c r="G16" i="95" s="1"/>
  <c r="F15" i="95"/>
  <c r="D15" i="95"/>
  <c r="G15" i="95" s="1"/>
  <c r="F14" i="95"/>
  <c r="D14" i="95"/>
  <c r="G14" i="95" s="1"/>
  <c r="F13" i="95"/>
  <c r="D13" i="95"/>
  <c r="G13" i="95" s="1"/>
  <c r="F9" i="95"/>
  <c r="D9" i="95"/>
  <c r="F8" i="95"/>
  <c r="D8" i="95"/>
  <c r="F7" i="95"/>
  <c r="D7" i="95"/>
  <c r="F6" i="95"/>
  <c r="D6" i="95"/>
  <c r="H13" i="95" l="1"/>
  <c r="G8" i="95"/>
  <c r="J8" i="95" s="1"/>
  <c r="K8" i="95" s="1"/>
  <c r="D30" i="95"/>
  <c r="G29" i="95"/>
  <c r="H29" i="95" s="1"/>
  <c r="G6" i="95"/>
  <c r="H6" i="95" s="1"/>
  <c r="G7" i="95"/>
  <c r="J7" i="95" s="1"/>
  <c r="K7" i="95" s="1"/>
  <c r="G28" i="95"/>
  <c r="J28" i="95" s="1"/>
  <c r="K28" i="95" s="1"/>
  <c r="G9" i="95"/>
  <c r="H9" i="95" s="1"/>
  <c r="J15" i="95"/>
  <c r="K15" i="95" s="1"/>
  <c r="H15" i="95"/>
  <c r="J14" i="95"/>
  <c r="K14" i="95" s="1"/>
  <c r="H14" i="95"/>
  <c r="H20" i="95"/>
  <c r="G24" i="95"/>
  <c r="J20" i="95"/>
  <c r="J29" i="95"/>
  <c r="K29" i="95" s="1"/>
  <c r="H22" i="95"/>
  <c r="J22" i="95"/>
  <c r="K22" i="95" s="1"/>
  <c r="G17" i="95"/>
  <c r="J16" i="95"/>
  <c r="K16" i="95" s="1"/>
  <c r="H16" i="95"/>
  <c r="J13" i="95"/>
  <c r="H21" i="95"/>
  <c r="H23" i="95"/>
  <c r="G27" i="95"/>
  <c r="D23" i="57"/>
  <c r="D22" i="57"/>
  <c r="D21" i="57"/>
  <c r="D20" i="57"/>
  <c r="D16" i="57"/>
  <c r="D15" i="57"/>
  <c r="D14" i="57"/>
  <c r="D13" i="57"/>
  <c r="D9" i="57"/>
  <c r="D8" i="57"/>
  <c r="D7" i="57"/>
  <c r="D6" i="57"/>
  <c r="D24" i="56"/>
  <c r="D23" i="56"/>
  <c r="D22" i="56"/>
  <c r="D21" i="56"/>
  <c r="D17" i="56"/>
  <c r="D16" i="56"/>
  <c r="D15" i="56"/>
  <c r="D14" i="56"/>
  <c r="D10" i="56"/>
  <c r="D20" i="7" s="1"/>
  <c r="D9" i="56"/>
  <c r="D8" i="56"/>
  <c r="D18" i="7" s="1"/>
  <c r="D7" i="56"/>
  <c r="D17" i="7" s="1"/>
  <c r="B78" i="30"/>
  <c r="L29" i="35"/>
  <c r="F15" i="35"/>
  <c r="M15" i="35" s="1"/>
  <c r="F16" i="35"/>
  <c r="M16" i="35" s="1"/>
  <c r="F17" i="35"/>
  <c r="M17" i="35" s="1"/>
  <c r="F18" i="35"/>
  <c r="M18" i="35" s="1"/>
  <c r="F19" i="35"/>
  <c r="M19" i="35" s="1"/>
  <c r="F20" i="35"/>
  <c r="M20" i="35" s="1"/>
  <c r="F21" i="35"/>
  <c r="M21" i="35" s="1"/>
  <c r="F22" i="35"/>
  <c r="M22" i="35" s="1"/>
  <c r="F23" i="35"/>
  <c r="M23" i="35" s="1"/>
  <c r="F24" i="35"/>
  <c r="M24" i="35" s="1"/>
  <c r="F25" i="35"/>
  <c r="M25" i="35" s="1"/>
  <c r="F26" i="35"/>
  <c r="M26" i="35" s="1"/>
  <c r="F27" i="35"/>
  <c r="M27" i="35" s="1"/>
  <c r="F28" i="35"/>
  <c r="M28" i="35" s="1"/>
  <c r="F14" i="35"/>
  <c r="M14" i="35" s="1"/>
  <c r="D50" i="8"/>
  <c r="H50" i="8"/>
  <c r="G50" i="8"/>
  <c r="F50" i="8"/>
  <c r="E51" i="8"/>
  <c r="E53" i="8"/>
  <c r="E54" i="8"/>
  <c r="E55" i="8"/>
  <c r="E56" i="8"/>
  <c r="E57" i="8"/>
  <c r="E58" i="8"/>
  <c r="E50" i="8"/>
  <c r="E54" i="35"/>
  <c r="C50" i="8"/>
  <c r="F67" i="35"/>
  <c r="G67" i="35"/>
  <c r="F68" i="35"/>
  <c r="G68" i="35"/>
  <c r="F69" i="35"/>
  <c r="G69" i="35"/>
  <c r="F70" i="35"/>
  <c r="G70" i="35"/>
  <c r="F71" i="35"/>
  <c r="G71" i="35"/>
  <c r="F72" i="35"/>
  <c r="G72" i="35"/>
  <c r="F73" i="35"/>
  <c r="G73" i="35"/>
  <c r="F74" i="35"/>
  <c r="G74" i="35"/>
  <c r="F75" i="35"/>
  <c r="G75" i="35"/>
  <c r="F76" i="35"/>
  <c r="G76" i="35"/>
  <c r="F77" i="35"/>
  <c r="G77" i="35"/>
  <c r="F78" i="35"/>
  <c r="G78" i="35"/>
  <c r="F26" i="84"/>
  <c r="F26" i="83"/>
  <c r="F26" i="82"/>
  <c r="F26" i="81"/>
  <c r="F36" i="7"/>
  <c r="F58" i="8" s="1"/>
  <c r="G61" i="35" s="1"/>
  <c r="F35" i="7"/>
  <c r="F57" i="8" s="1"/>
  <c r="G60" i="35" s="1"/>
  <c r="D35" i="7"/>
  <c r="H8" i="95" l="1"/>
  <c r="J9" i="95"/>
  <c r="K9" i="95" s="1"/>
  <c r="D19" i="7"/>
  <c r="G35" i="7"/>
  <c r="G57" i="8" s="1"/>
  <c r="M60" i="35" s="1"/>
  <c r="N60" i="35" s="1"/>
  <c r="E60" i="35"/>
  <c r="J6" i="95"/>
  <c r="J10" i="95" s="1"/>
  <c r="E56" i="35"/>
  <c r="E61" i="35"/>
  <c r="E57" i="35"/>
  <c r="H28" i="95"/>
  <c r="E58" i="35"/>
  <c r="G10" i="95"/>
  <c r="H7" i="95"/>
  <c r="G30" i="95"/>
  <c r="H17" i="95"/>
  <c r="J17" i="95"/>
  <c r="K13" i="95"/>
  <c r="J24" i="95"/>
  <c r="K20" i="95"/>
  <c r="G31" i="95"/>
  <c r="J27" i="95"/>
  <c r="H27" i="95"/>
  <c r="H24" i="95"/>
  <c r="E59" i="35"/>
  <c r="E55" i="35"/>
  <c r="I50" i="8"/>
  <c r="B62" i="30"/>
  <c r="D57" i="8"/>
  <c r="M29" i="35"/>
  <c r="F17" i="83"/>
  <c r="G11" i="83"/>
  <c r="F11" i="83"/>
  <c r="F10" i="83"/>
  <c r="F12" i="83"/>
  <c r="F22" i="83"/>
  <c r="F23" i="83"/>
  <c r="G7" i="78"/>
  <c r="D10" i="82"/>
  <c r="D17" i="78"/>
  <c r="D6" i="77"/>
  <c r="D6" i="76"/>
  <c r="D6" i="79"/>
  <c r="D13" i="79" s="1"/>
  <c r="F29" i="79"/>
  <c r="G28" i="79"/>
  <c r="J28" i="79" s="1"/>
  <c r="K28" i="79" s="1"/>
  <c r="F28" i="79"/>
  <c r="D8" i="79"/>
  <c r="G8" i="79" s="1"/>
  <c r="G9" i="79" s="1"/>
  <c r="F8" i="79"/>
  <c r="G7" i="79"/>
  <c r="F7" i="79"/>
  <c r="D6" i="78"/>
  <c r="F27" i="78"/>
  <c r="G26" i="78"/>
  <c r="J26" i="78" s="1"/>
  <c r="K26" i="78" s="1"/>
  <c r="F26" i="78"/>
  <c r="F29" i="77"/>
  <c r="G28" i="77"/>
  <c r="J28" i="77" s="1"/>
  <c r="F28" i="77"/>
  <c r="F31" i="76"/>
  <c r="H14" i="8"/>
  <c r="D18" i="30" s="1"/>
  <c r="H18" i="30" s="1"/>
  <c r="H15" i="8"/>
  <c r="H16" i="35" s="1"/>
  <c r="D20" i="30"/>
  <c r="H20" i="30" s="1"/>
  <c r="H17" i="8"/>
  <c r="D21" i="30" s="1"/>
  <c r="H21" i="30" s="1"/>
  <c r="H18" i="8"/>
  <c r="D22" i="30" s="1"/>
  <c r="H22" i="30" s="1"/>
  <c r="H19" i="8"/>
  <c r="D23" i="30" s="1"/>
  <c r="H23" i="30" s="1"/>
  <c r="H20" i="8"/>
  <c r="D24" i="30" s="1"/>
  <c r="H24" i="30" s="1"/>
  <c r="H21" i="8"/>
  <c r="D25" i="30" s="1"/>
  <c r="H25" i="30" s="1"/>
  <c r="H22" i="8"/>
  <c r="H23" i="8"/>
  <c r="D27" i="30" s="1"/>
  <c r="H27" i="30" s="1"/>
  <c r="H24" i="8"/>
  <c r="D28" i="30" s="1"/>
  <c r="H28" i="30" s="1"/>
  <c r="H25" i="8"/>
  <c r="D29" i="30" s="1"/>
  <c r="H29" i="30" s="1"/>
  <c r="H26" i="8"/>
  <c r="D30" i="30" s="1"/>
  <c r="H30" i="30" s="1"/>
  <c r="H27" i="8"/>
  <c r="D31" i="30" s="1"/>
  <c r="H31" i="30" s="1"/>
  <c r="H13" i="8"/>
  <c r="G14" i="8"/>
  <c r="G15" i="8"/>
  <c r="G17" i="8"/>
  <c r="G18" i="8"/>
  <c r="G19" i="8"/>
  <c r="G20" i="8"/>
  <c r="G21" i="8"/>
  <c r="G22" i="8"/>
  <c r="G23" i="8"/>
  <c r="G24" i="8"/>
  <c r="G25" i="8"/>
  <c r="G26" i="8"/>
  <c r="G27" i="8"/>
  <c r="G13" i="8"/>
  <c r="F8" i="8"/>
  <c r="F7" i="8"/>
  <c r="F6" i="8"/>
  <c r="F5" i="8"/>
  <c r="F4" i="8"/>
  <c r="G8" i="8"/>
  <c r="G5" i="8"/>
  <c r="G7" i="8"/>
  <c r="G6" i="8"/>
  <c r="F8" i="77"/>
  <c r="D8" i="77"/>
  <c r="G8" i="77" s="1"/>
  <c r="G7" i="77"/>
  <c r="J7" i="77" s="1"/>
  <c r="K7" i="77" s="1"/>
  <c r="F7" i="77"/>
  <c r="F29" i="76"/>
  <c r="F8" i="76"/>
  <c r="D8" i="76"/>
  <c r="G8" i="76" s="1"/>
  <c r="F29" i="63"/>
  <c r="G8" i="63"/>
  <c r="F8" i="63"/>
  <c r="G28" i="76"/>
  <c r="F28" i="76"/>
  <c r="G7" i="76"/>
  <c r="J7" i="76" s="1"/>
  <c r="K7" i="76" s="1"/>
  <c r="F7" i="76"/>
  <c r="H7" i="76" s="1"/>
  <c r="G28" i="63"/>
  <c r="F28" i="63"/>
  <c r="G7" i="63"/>
  <c r="J5" i="63"/>
  <c r="K5" i="63" s="1"/>
  <c r="F7" i="63"/>
  <c r="G9" i="8"/>
  <c r="K6" i="95" l="1"/>
  <c r="F60" i="35"/>
  <c r="G11" i="8"/>
  <c r="G28" i="8"/>
  <c r="H35" i="7"/>
  <c r="H57" i="8" s="1"/>
  <c r="D61" i="30" s="1"/>
  <c r="D19" i="30"/>
  <c r="H19" i="30" s="1"/>
  <c r="I15" i="8"/>
  <c r="H28" i="8"/>
  <c r="G30" i="30"/>
  <c r="H10" i="95"/>
  <c r="J30" i="95"/>
  <c r="K30" i="95" s="1"/>
  <c r="H30" i="95"/>
  <c r="K27" i="95"/>
  <c r="M24" i="30"/>
  <c r="M30" i="30"/>
  <c r="G27" i="30"/>
  <c r="N20" i="30"/>
  <c r="M18" i="30"/>
  <c r="F27" i="30"/>
  <c r="P23" i="30"/>
  <c r="E27" i="30"/>
  <c r="O24" i="30"/>
  <c r="F23" i="30"/>
  <c r="J30" i="30"/>
  <c r="G18" i="30"/>
  <c r="O23" i="30"/>
  <c r="L27" i="30"/>
  <c r="I23" i="30"/>
  <c r="I27" i="30"/>
  <c r="N18" i="30"/>
  <c r="J23" i="30"/>
  <c r="N30" i="30"/>
  <c r="G23" i="30"/>
  <c r="L18" i="30"/>
  <c r="K24" i="30"/>
  <c r="M23" i="30"/>
  <c r="I30" i="30"/>
  <c r="F19" i="30"/>
  <c r="J24" i="30"/>
  <c r="G19" i="30"/>
  <c r="K18" i="30"/>
  <c r="L29" i="30"/>
  <c r="N25" i="30"/>
  <c r="G21" i="30"/>
  <c r="O25" i="30"/>
  <c r="I21" i="30"/>
  <c r="E25" i="30"/>
  <c r="I29" i="30"/>
  <c r="F21" i="30"/>
  <c r="N24" i="30"/>
  <c r="K31" i="30"/>
  <c r="H8" i="63"/>
  <c r="H7" i="79"/>
  <c r="P18" i="30"/>
  <c r="P21" i="30"/>
  <c r="P24" i="30"/>
  <c r="P27" i="30"/>
  <c r="L30" i="30"/>
  <c r="E18" i="30"/>
  <c r="I19" i="30"/>
  <c r="M21" i="30"/>
  <c r="E24" i="30"/>
  <c r="I25" i="30"/>
  <c r="M27" i="30"/>
  <c r="M29" i="30"/>
  <c r="E31" i="30"/>
  <c r="F18" i="30"/>
  <c r="J19" i="30"/>
  <c r="J21" i="30"/>
  <c r="N23" i="30"/>
  <c r="F25" i="30"/>
  <c r="J27" i="30"/>
  <c r="N29" i="30"/>
  <c r="G24" i="30"/>
  <c r="G25" i="30"/>
  <c r="K19" i="30"/>
  <c r="G29" i="30"/>
  <c r="O19" i="30"/>
  <c r="K29" i="30"/>
  <c r="O18" i="30"/>
  <c r="P25" i="30"/>
  <c r="E21" i="30"/>
  <c r="E29" i="30"/>
  <c r="F29" i="30"/>
  <c r="L21" i="30"/>
  <c r="L24" i="30"/>
  <c r="P29" i="30"/>
  <c r="J29" i="30"/>
  <c r="K21" i="30"/>
  <c r="O29" i="30"/>
  <c r="K25" i="30"/>
  <c r="L19" i="30"/>
  <c r="L23" i="30"/>
  <c r="L25" i="30"/>
  <c r="L28" i="30"/>
  <c r="P30" i="30"/>
  <c r="I18" i="30"/>
  <c r="M19" i="30"/>
  <c r="E23" i="30"/>
  <c r="I24" i="30"/>
  <c r="M25" i="30"/>
  <c r="M28" i="30"/>
  <c r="E30" i="30"/>
  <c r="G20" i="30"/>
  <c r="J18" i="30"/>
  <c r="N19" i="30"/>
  <c r="N21" i="30"/>
  <c r="F24" i="30"/>
  <c r="J25" i="30"/>
  <c r="N27" i="30"/>
  <c r="F30" i="30"/>
  <c r="O27" i="30"/>
  <c r="O21" i="30"/>
  <c r="K30" i="30"/>
  <c r="K23" i="30"/>
  <c r="O30" i="30"/>
  <c r="K27" i="30"/>
  <c r="P31" i="30"/>
  <c r="N31" i="30"/>
  <c r="G31" i="30"/>
  <c r="L31" i="30"/>
  <c r="M31" i="30"/>
  <c r="J31" i="30"/>
  <c r="O31" i="30"/>
  <c r="I31" i="30"/>
  <c r="F31" i="30"/>
  <c r="O28" i="30"/>
  <c r="I28" i="30"/>
  <c r="N28" i="30"/>
  <c r="G28" i="30"/>
  <c r="E28" i="30"/>
  <c r="J28" i="30"/>
  <c r="P28" i="30"/>
  <c r="K28" i="30"/>
  <c r="F28" i="30"/>
  <c r="O20" i="30"/>
  <c r="M20" i="30"/>
  <c r="J20" i="30"/>
  <c r="P20" i="30"/>
  <c r="I20" i="30"/>
  <c r="F20" i="30"/>
  <c r="L20" i="30"/>
  <c r="E20" i="30"/>
  <c r="K20" i="30"/>
  <c r="P22" i="30"/>
  <c r="D26" i="30"/>
  <c r="H26" i="30" s="1"/>
  <c r="K22" i="30"/>
  <c r="F22" i="30"/>
  <c r="L22" i="30"/>
  <c r="M22" i="30"/>
  <c r="I22" i="30"/>
  <c r="N22" i="30"/>
  <c r="O22" i="30"/>
  <c r="G22" i="30"/>
  <c r="E22" i="30"/>
  <c r="J22" i="30"/>
  <c r="H28" i="76"/>
  <c r="G9" i="76"/>
  <c r="H11" i="83"/>
  <c r="H28" i="79"/>
  <c r="H8" i="79"/>
  <c r="J8" i="79"/>
  <c r="K8" i="79" s="1"/>
  <c r="J7" i="79"/>
  <c r="H26" i="78"/>
  <c r="G9" i="77"/>
  <c r="H28" i="77"/>
  <c r="H7" i="77"/>
  <c r="K28" i="77"/>
  <c r="H8" i="76"/>
  <c r="J8" i="76"/>
  <c r="K8" i="76" s="1"/>
  <c r="H7" i="63"/>
  <c r="I35" i="7" s="1"/>
  <c r="I38" i="7" s="1"/>
  <c r="J8" i="63"/>
  <c r="K8" i="63" s="1"/>
  <c r="H28" i="63"/>
  <c r="G9" i="63"/>
  <c r="H8" i="77"/>
  <c r="J8" i="77"/>
  <c r="J28" i="63"/>
  <c r="K28" i="63" s="1"/>
  <c r="J7" i="63"/>
  <c r="K7" i="63" s="1"/>
  <c r="J28" i="76"/>
  <c r="K28" i="76" s="1"/>
  <c r="M6" i="35"/>
  <c r="N6" i="35" s="1"/>
  <c r="G15" i="35"/>
  <c r="G16" i="35"/>
  <c r="G18" i="35"/>
  <c r="G19" i="35"/>
  <c r="G20" i="35"/>
  <c r="G21" i="35"/>
  <c r="G22" i="35"/>
  <c r="G23" i="35"/>
  <c r="G24" i="35"/>
  <c r="G25" i="35"/>
  <c r="G26" i="35"/>
  <c r="G27" i="35"/>
  <c r="G28" i="35"/>
  <c r="H71" i="8"/>
  <c r="H70" i="8"/>
  <c r="G75" i="8"/>
  <c r="H63" i="8"/>
  <c r="H64" i="8"/>
  <c r="H65" i="8"/>
  <c r="H66" i="8"/>
  <c r="H62" i="8"/>
  <c r="H68" i="8"/>
  <c r="L50" i="35"/>
  <c r="H69" i="8"/>
  <c r="H7" i="8"/>
  <c r="H7" i="35" s="1"/>
  <c r="L38" i="35"/>
  <c r="E19" i="30" l="1"/>
  <c r="P19" i="30"/>
  <c r="H60" i="35"/>
  <c r="I57" i="8"/>
  <c r="J31" i="95"/>
  <c r="H31" i="95"/>
  <c r="H32" i="95" s="1"/>
  <c r="H33" i="95" s="1"/>
  <c r="I68" i="8"/>
  <c r="H72" i="35"/>
  <c r="D72" i="30"/>
  <c r="H74" i="35"/>
  <c r="D74" i="30"/>
  <c r="N26" i="30"/>
  <c r="H68" i="35"/>
  <c r="D68" i="30"/>
  <c r="K26" i="30"/>
  <c r="I69" i="8"/>
  <c r="D73" i="30"/>
  <c r="H73" i="35"/>
  <c r="I63" i="8"/>
  <c r="D67" i="30"/>
  <c r="H67" i="35"/>
  <c r="L35" i="7"/>
  <c r="J26" i="30"/>
  <c r="D69" i="30"/>
  <c r="H69" i="35"/>
  <c r="I65" i="8"/>
  <c r="H75" i="35"/>
  <c r="D75" i="30"/>
  <c r="I66" i="8"/>
  <c r="H70" i="35"/>
  <c r="D70" i="30"/>
  <c r="G26" i="30"/>
  <c r="O26" i="30"/>
  <c r="P26" i="30"/>
  <c r="E26" i="30"/>
  <c r="L26" i="30"/>
  <c r="M26" i="30"/>
  <c r="F26" i="30"/>
  <c r="I26" i="30"/>
  <c r="P61" i="30"/>
  <c r="O61" i="30"/>
  <c r="I74" i="8"/>
  <c r="H78" i="35"/>
  <c r="D78" i="30"/>
  <c r="I71" i="8"/>
  <c r="K7" i="79"/>
  <c r="K8" i="77"/>
  <c r="I64" i="8"/>
  <c r="F29" i="35"/>
  <c r="J21" i="7"/>
  <c r="E41" i="8"/>
  <c r="E42" i="8"/>
  <c r="E43" i="8"/>
  <c r="E44" i="8"/>
  <c r="E45" i="8"/>
  <c r="E46" i="8"/>
  <c r="E47" i="8"/>
  <c r="G41" i="35"/>
  <c r="E40" i="8"/>
  <c r="C40" i="8"/>
  <c r="E42" i="35" s="1"/>
  <c r="C42" i="8"/>
  <c r="E44" i="35" s="1"/>
  <c r="C43" i="8"/>
  <c r="E45" i="35" s="1"/>
  <c r="C44" i="8"/>
  <c r="E46" i="35" s="1"/>
  <c r="C45" i="8"/>
  <c r="E47" i="35" s="1"/>
  <c r="C47" i="8"/>
  <c r="E49" i="35" s="1"/>
  <c r="C39" i="8"/>
  <c r="E41" i="35" s="1"/>
  <c r="D41" i="8"/>
  <c r="F43" i="35" s="1"/>
  <c r="D29" i="56"/>
  <c r="D30" i="56"/>
  <c r="D28" i="56"/>
  <c r="I7" i="7"/>
  <c r="J7" i="7"/>
  <c r="K7" i="7"/>
  <c r="I8" i="7"/>
  <c r="J8" i="7"/>
  <c r="K8" i="7"/>
  <c r="I9" i="7"/>
  <c r="I10" i="7"/>
  <c r="K10" i="7"/>
  <c r="I11" i="7"/>
  <c r="J11" i="7"/>
  <c r="J12" i="7"/>
  <c r="K12" i="7"/>
  <c r="I6" i="7"/>
  <c r="K6" i="7"/>
  <c r="Q61" i="30" l="1"/>
  <c r="L69" i="30"/>
  <c r="I69" i="30"/>
  <c r="J69" i="30"/>
  <c r="K69" i="30"/>
  <c r="C48" i="30"/>
  <c r="C46" i="30"/>
  <c r="H41" i="35"/>
  <c r="D43" i="30"/>
  <c r="C43" i="30"/>
  <c r="C49" i="30"/>
  <c r="C47" i="30"/>
  <c r="C44" i="30"/>
  <c r="I39" i="8"/>
  <c r="D12" i="85"/>
  <c r="D11" i="85"/>
  <c r="G11" i="85" s="1"/>
  <c r="G11" i="7" s="1"/>
  <c r="D10" i="85"/>
  <c r="G10" i="85" s="1"/>
  <c r="G10" i="7" s="1"/>
  <c r="D9" i="85"/>
  <c r="G9" i="85" s="1"/>
  <c r="G9" i="7" s="1"/>
  <c r="D8" i="85"/>
  <c r="G8" i="85" s="1"/>
  <c r="G8" i="7" s="1"/>
  <c r="D7" i="85"/>
  <c r="D7" i="7" s="1"/>
  <c r="D6" i="85"/>
  <c r="D6" i="7" s="1"/>
  <c r="G12" i="94"/>
  <c r="F12" i="94"/>
  <c r="H12" i="94" s="1"/>
  <c r="G11" i="94"/>
  <c r="F11" i="94"/>
  <c r="H11" i="94" s="1"/>
  <c r="G10" i="94"/>
  <c r="F10" i="94"/>
  <c r="H10" i="94" s="1"/>
  <c r="F9" i="94"/>
  <c r="D9" i="94"/>
  <c r="G9" i="94" s="1"/>
  <c r="G8" i="94"/>
  <c r="F8" i="94"/>
  <c r="H8" i="94" s="1"/>
  <c r="G7" i="94"/>
  <c r="F7" i="94"/>
  <c r="H7" i="94" s="1"/>
  <c r="G6" i="94"/>
  <c r="F6" i="94"/>
  <c r="H6" i="94" s="1"/>
  <c r="I26" i="92"/>
  <c r="G25" i="92"/>
  <c r="F25" i="92"/>
  <c r="G24" i="92"/>
  <c r="J24" i="92" s="1"/>
  <c r="K24" i="92" s="1"/>
  <c r="F24" i="92"/>
  <c r="G23" i="92"/>
  <c r="J23" i="92" s="1"/>
  <c r="K23" i="92" s="1"/>
  <c r="F23" i="92"/>
  <c r="G22" i="92"/>
  <c r="J22" i="92" s="1"/>
  <c r="K22" i="92" s="1"/>
  <c r="F22" i="92"/>
  <c r="G21" i="92"/>
  <c r="J21" i="92" s="1"/>
  <c r="K21" i="92" s="1"/>
  <c r="F21" i="92"/>
  <c r="G20" i="92"/>
  <c r="J20" i="92" s="1"/>
  <c r="K20" i="92" s="1"/>
  <c r="F20" i="92"/>
  <c r="G19" i="92"/>
  <c r="J19" i="92" s="1"/>
  <c r="F19" i="92"/>
  <c r="I17" i="92"/>
  <c r="G16" i="92"/>
  <c r="J16" i="92" s="1"/>
  <c r="K16" i="92" s="1"/>
  <c r="F16" i="92"/>
  <c r="G15" i="92"/>
  <c r="J15" i="92" s="1"/>
  <c r="F15" i="92"/>
  <c r="I13" i="92"/>
  <c r="G12" i="92"/>
  <c r="J12" i="92" s="1"/>
  <c r="K12" i="92" s="1"/>
  <c r="F12" i="92"/>
  <c r="G11" i="92"/>
  <c r="J11" i="92" s="1"/>
  <c r="K11" i="92" s="1"/>
  <c r="F11" i="92"/>
  <c r="G10" i="92"/>
  <c r="J10" i="92" s="1"/>
  <c r="F10" i="92"/>
  <c r="I8" i="92"/>
  <c r="G7" i="92"/>
  <c r="J7" i="92" s="1"/>
  <c r="F7" i="92"/>
  <c r="I26" i="91"/>
  <c r="G25" i="91"/>
  <c r="F25" i="91"/>
  <c r="G24" i="91"/>
  <c r="J24" i="91" s="1"/>
  <c r="K24" i="91" s="1"/>
  <c r="F24" i="91"/>
  <c r="G23" i="91"/>
  <c r="J23" i="91" s="1"/>
  <c r="K23" i="91" s="1"/>
  <c r="F23" i="91"/>
  <c r="G22" i="91"/>
  <c r="J22" i="91" s="1"/>
  <c r="K22" i="91" s="1"/>
  <c r="F22" i="91"/>
  <c r="G21" i="91"/>
  <c r="F21" i="91"/>
  <c r="G20" i="91"/>
  <c r="J20" i="91" s="1"/>
  <c r="K20" i="91" s="1"/>
  <c r="F20" i="91"/>
  <c r="G19" i="91"/>
  <c r="J19" i="91" s="1"/>
  <c r="F19" i="91"/>
  <c r="I17" i="91"/>
  <c r="G16" i="91"/>
  <c r="J16" i="91" s="1"/>
  <c r="K16" i="91" s="1"/>
  <c r="F16" i="91"/>
  <c r="G15" i="91"/>
  <c r="J15" i="91" s="1"/>
  <c r="F15" i="91"/>
  <c r="I13" i="91"/>
  <c r="G12" i="91"/>
  <c r="J12" i="91" s="1"/>
  <c r="K12" i="91" s="1"/>
  <c r="F12" i="91"/>
  <c r="G11" i="91"/>
  <c r="F11" i="91"/>
  <c r="G10" i="91"/>
  <c r="J10" i="91" s="1"/>
  <c r="F10" i="91"/>
  <c r="I8" i="91"/>
  <c r="G7" i="91"/>
  <c r="J7" i="91" s="1"/>
  <c r="F7" i="91"/>
  <c r="I26" i="90"/>
  <c r="G25" i="90"/>
  <c r="F25" i="90"/>
  <c r="G24" i="90"/>
  <c r="J24" i="90" s="1"/>
  <c r="K24" i="90" s="1"/>
  <c r="F24" i="90"/>
  <c r="G23" i="90"/>
  <c r="J23" i="90" s="1"/>
  <c r="K23" i="90" s="1"/>
  <c r="F23" i="90"/>
  <c r="G22" i="90"/>
  <c r="J22" i="90" s="1"/>
  <c r="K22" i="90" s="1"/>
  <c r="F22" i="90"/>
  <c r="G21" i="90"/>
  <c r="F21" i="90"/>
  <c r="G20" i="90"/>
  <c r="J20" i="90" s="1"/>
  <c r="K20" i="90" s="1"/>
  <c r="F20" i="90"/>
  <c r="G19" i="90"/>
  <c r="J19" i="90" s="1"/>
  <c r="F19" i="90"/>
  <c r="I17" i="90"/>
  <c r="G16" i="90"/>
  <c r="J16" i="90" s="1"/>
  <c r="K16" i="90" s="1"/>
  <c r="F16" i="90"/>
  <c r="G15" i="90"/>
  <c r="J15" i="90" s="1"/>
  <c r="F15" i="90"/>
  <c r="I13" i="90"/>
  <c r="G12" i="90"/>
  <c r="J12" i="90" s="1"/>
  <c r="K12" i="90" s="1"/>
  <c r="F12" i="90"/>
  <c r="G11" i="90"/>
  <c r="F11" i="90"/>
  <c r="G10" i="90"/>
  <c r="J10" i="90" s="1"/>
  <c r="F10" i="90"/>
  <c r="I8" i="90"/>
  <c r="G7" i="90"/>
  <c r="J7" i="90" s="1"/>
  <c r="F7" i="90"/>
  <c r="I26" i="89"/>
  <c r="G25" i="89"/>
  <c r="J25" i="89" s="1"/>
  <c r="K25" i="89" s="1"/>
  <c r="F25" i="89"/>
  <c r="G24" i="89"/>
  <c r="J24" i="89" s="1"/>
  <c r="K24" i="89" s="1"/>
  <c r="F24" i="89"/>
  <c r="G23" i="89"/>
  <c r="J23" i="89" s="1"/>
  <c r="K23" i="89" s="1"/>
  <c r="F23" i="89"/>
  <c r="G22" i="89"/>
  <c r="J22" i="89" s="1"/>
  <c r="K22" i="89" s="1"/>
  <c r="F22" i="89"/>
  <c r="G21" i="89"/>
  <c r="F21" i="89"/>
  <c r="G20" i="89"/>
  <c r="J20" i="89" s="1"/>
  <c r="K20" i="89" s="1"/>
  <c r="F20" i="89"/>
  <c r="G19" i="89"/>
  <c r="J19" i="89" s="1"/>
  <c r="F19" i="89"/>
  <c r="I17" i="89"/>
  <c r="G16" i="89"/>
  <c r="J16" i="89" s="1"/>
  <c r="K16" i="89" s="1"/>
  <c r="F16" i="89"/>
  <c r="G15" i="89"/>
  <c r="F15" i="89"/>
  <c r="I13" i="89"/>
  <c r="G12" i="89"/>
  <c r="J12" i="89" s="1"/>
  <c r="K12" i="89" s="1"/>
  <c r="F12" i="89"/>
  <c r="G11" i="89"/>
  <c r="J11" i="89" s="1"/>
  <c r="K11" i="89" s="1"/>
  <c r="F11" i="89"/>
  <c r="G10" i="89"/>
  <c r="J10" i="89" s="1"/>
  <c r="F10" i="89"/>
  <c r="I8" i="89"/>
  <c r="G7" i="89"/>
  <c r="J7" i="89" s="1"/>
  <c r="F7" i="89"/>
  <c r="I26" i="88"/>
  <c r="G25" i="88"/>
  <c r="F25" i="88"/>
  <c r="G24" i="88"/>
  <c r="J24" i="88" s="1"/>
  <c r="K24" i="88" s="1"/>
  <c r="F24" i="88"/>
  <c r="G23" i="88"/>
  <c r="J23" i="88" s="1"/>
  <c r="K23" i="88" s="1"/>
  <c r="F23" i="88"/>
  <c r="G22" i="88"/>
  <c r="J22" i="88" s="1"/>
  <c r="K22" i="88" s="1"/>
  <c r="F22" i="88"/>
  <c r="G21" i="88"/>
  <c r="F21" i="88"/>
  <c r="G20" i="88"/>
  <c r="J20" i="88" s="1"/>
  <c r="K20" i="88" s="1"/>
  <c r="F20" i="88"/>
  <c r="G19" i="88"/>
  <c r="J19" i="88" s="1"/>
  <c r="F19" i="88"/>
  <c r="I17" i="88"/>
  <c r="G16" i="88"/>
  <c r="J16" i="88" s="1"/>
  <c r="K16" i="88" s="1"/>
  <c r="F16" i="88"/>
  <c r="G15" i="88"/>
  <c r="J15" i="88" s="1"/>
  <c r="F15" i="88"/>
  <c r="I13" i="88"/>
  <c r="G12" i="88"/>
  <c r="J12" i="88" s="1"/>
  <c r="K12" i="88" s="1"/>
  <c r="F12" i="88"/>
  <c r="G11" i="88"/>
  <c r="J11" i="88" s="1"/>
  <c r="K11" i="88" s="1"/>
  <c r="F11" i="88"/>
  <c r="G10" i="88"/>
  <c r="J10" i="88" s="1"/>
  <c r="F10" i="88"/>
  <c r="I8" i="88"/>
  <c r="G7" i="88"/>
  <c r="J7" i="88" s="1"/>
  <c r="F7" i="88"/>
  <c r="I26" i="87"/>
  <c r="G25" i="87"/>
  <c r="F25" i="87"/>
  <c r="G24" i="87"/>
  <c r="J24" i="87" s="1"/>
  <c r="K24" i="87" s="1"/>
  <c r="F24" i="87"/>
  <c r="G23" i="87"/>
  <c r="J23" i="87" s="1"/>
  <c r="K23" i="87" s="1"/>
  <c r="F23" i="87"/>
  <c r="G22" i="87"/>
  <c r="J22" i="87" s="1"/>
  <c r="K22" i="87" s="1"/>
  <c r="F22" i="87"/>
  <c r="G21" i="87"/>
  <c r="F21" i="87"/>
  <c r="G20" i="87"/>
  <c r="J20" i="87" s="1"/>
  <c r="K20" i="87" s="1"/>
  <c r="F20" i="87"/>
  <c r="G19" i="87"/>
  <c r="J19" i="87" s="1"/>
  <c r="F19" i="87"/>
  <c r="I17" i="87"/>
  <c r="G16" i="87"/>
  <c r="J16" i="87" s="1"/>
  <c r="K16" i="87" s="1"/>
  <c r="F16" i="87"/>
  <c r="G15" i="87"/>
  <c r="F15" i="87"/>
  <c r="I13" i="87"/>
  <c r="G12" i="87"/>
  <c r="J12" i="87" s="1"/>
  <c r="K12" i="87" s="1"/>
  <c r="F12" i="87"/>
  <c r="G11" i="87"/>
  <c r="J11" i="87" s="1"/>
  <c r="F11" i="87"/>
  <c r="G10" i="87"/>
  <c r="J10" i="87" s="1"/>
  <c r="F10" i="87"/>
  <c r="I8" i="87"/>
  <c r="G7" i="87"/>
  <c r="J7" i="87" s="1"/>
  <c r="F7" i="87"/>
  <c r="C7" i="7"/>
  <c r="E7" i="7"/>
  <c r="C8" i="7"/>
  <c r="E8" i="7"/>
  <c r="C9" i="7"/>
  <c r="E9" i="7"/>
  <c r="C10" i="7"/>
  <c r="E10" i="7"/>
  <c r="E11" i="7"/>
  <c r="C12" i="7"/>
  <c r="E12" i="7"/>
  <c r="C6" i="7"/>
  <c r="E6" i="7"/>
  <c r="G25" i="86"/>
  <c r="J25" i="86" s="1"/>
  <c r="K25" i="86" s="1"/>
  <c r="F25" i="86"/>
  <c r="G24" i="86"/>
  <c r="J24" i="86" s="1"/>
  <c r="K24" i="86" s="1"/>
  <c r="F24" i="86"/>
  <c r="G23" i="86"/>
  <c r="F23" i="86"/>
  <c r="G22" i="86"/>
  <c r="J22" i="86" s="1"/>
  <c r="K22" i="86" s="1"/>
  <c r="F22" i="86"/>
  <c r="G21" i="86"/>
  <c r="J21" i="86" s="1"/>
  <c r="K21" i="86" s="1"/>
  <c r="F21" i="86"/>
  <c r="G20" i="86"/>
  <c r="J20" i="86" s="1"/>
  <c r="K20" i="86" s="1"/>
  <c r="F20" i="86"/>
  <c r="G19" i="86"/>
  <c r="F19" i="86"/>
  <c r="G16" i="86"/>
  <c r="J16" i="86" s="1"/>
  <c r="K16" i="86" s="1"/>
  <c r="F16" i="86"/>
  <c r="G15" i="86"/>
  <c r="J15" i="86" s="1"/>
  <c r="K15" i="86" s="1"/>
  <c r="F15" i="86"/>
  <c r="G12" i="86"/>
  <c r="J12" i="86" s="1"/>
  <c r="K12" i="86" s="1"/>
  <c r="F12" i="86"/>
  <c r="G11" i="86"/>
  <c r="J11" i="86" s="1"/>
  <c r="K11" i="86" s="1"/>
  <c r="F11" i="86"/>
  <c r="G10" i="86"/>
  <c r="F10" i="86"/>
  <c r="G7" i="86"/>
  <c r="J7" i="86" s="1"/>
  <c r="F7" i="86"/>
  <c r="I8" i="86"/>
  <c r="F12" i="85"/>
  <c r="F11" i="85"/>
  <c r="F11" i="7" s="1"/>
  <c r="F10" i="85"/>
  <c r="F9" i="85"/>
  <c r="F9" i="7" s="1"/>
  <c r="F8" i="85"/>
  <c r="F7" i="85"/>
  <c r="F6" i="85"/>
  <c r="J11" i="83"/>
  <c r="F41" i="35"/>
  <c r="F79" i="30"/>
  <c r="C54" i="30"/>
  <c r="C51" i="30"/>
  <c r="Q19" i="30"/>
  <c r="H67" i="30"/>
  <c r="Q67" i="30" s="1"/>
  <c r="I68" i="30"/>
  <c r="Q68" i="30" s="1"/>
  <c r="H69" i="30"/>
  <c r="J74" i="30"/>
  <c r="Q74" i="30" s="1"/>
  <c r="M10" i="35"/>
  <c r="N10" i="35" s="1"/>
  <c r="L11" i="35"/>
  <c r="G5" i="35"/>
  <c r="G6" i="35"/>
  <c r="G7" i="35"/>
  <c r="G8" i="35"/>
  <c r="G9" i="35"/>
  <c r="G10" i="35"/>
  <c r="F5" i="35"/>
  <c r="F6" i="35"/>
  <c r="F7" i="35"/>
  <c r="F8" i="35"/>
  <c r="F9" i="35"/>
  <c r="F10" i="35"/>
  <c r="H21" i="87" l="1"/>
  <c r="H25" i="87"/>
  <c r="H12" i="92"/>
  <c r="H25" i="92"/>
  <c r="H7" i="85"/>
  <c r="H7" i="7" s="1"/>
  <c r="Q69" i="30"/>
  <c r="H20" i="91"/>
  <c r="H9" i="94"/>
  <c r="H13" i="94" s="1"/>
  <c r="H14" i="94" s="1"/>
  <c r="G12" i="85"/>
  <c r="G12" i="7" s="1"/>
  <c r="F14" i="85"/>
  <c r="Q43" i="30"/>
  <c r="H7" i="91"/>
  <c r="H8" i="91" s="1"/>
  <c r="H7" i="90"/>
  <c r="H8" i="90" s="1"/>
  <c r="H19" i="86"/>
  <c r="H23" i="86"/>
  <c r="I27" i="87"/>
  <c r="I27" i="89"/>
  <c r="H12" i="91"/>
  <c r="H21" i="91"/>
  <c r="H25" i="91"/>
  <c r="I27" i="92"/>
  <c r="H12" i="89"/>
  <c r="H15" i="89"/>
  <c r="H21" i="90"/>
  <c r="H10" i="86"/>
  <c r="H15" i="87"/>
  <c r="H12" i="88"/>
  <c r="H21" i="88"/>
  <c r="H25" i="88"/>
  <c r="H21" i="89"/>
  <c r="H25" i="89"/>
  <c r="I27" i="91"/>
  <c r="M41" i="35"/>
  <c r="N41" i="35" s="1"/>
  <c r="H25" i="90"/>
  <c r="H12" i="85"/>
  <c r="H12" i="7" s="1"/>
  <c r="H22" i="87"/>
  <c r="H11" i="91"/>
  <c r="J11" i="91"/>
  <c r="K11" i="91" s="1"/>
  <c r="H11" i="90"/>
  <c r="J15" i="89"/>
  <c r="K15" i="89" s="1"/>
  <c r="J15" i="87"/>
  <c r="H15" i="86"/>
  <c r="H9" i="85"/>
  <c r="F7" i="7"/>
  <c r="J21" i="89"/>
  <c r="K21" i="89" s="1"/>
  <c r="H21" i="92"/>
  <c r="J21" i="91"/>
  <c r="K21" i="91" s="1"/>
  <c r="H23" i="87"/>
  <c r="H20" i="86"/>
  <c r="H11" i="86"/>
  <c r="J25" i="91"/>
  <c r="K25" i="91" s="1"/>
  <c r="J25" i="92"/>
  <c r="K25" i="92" s="1"/>
  <c r="J25" i="88"/>
  <c r="K25" i="88" s="1"/>
  <c r="I27" i="90"/>
  <c r="H12" i="90"/>
  <c r="J21" i="87"/>
  <c r="K21" i="87" s="1"/>
  <c r="G7" i="85"/>
  <c r="G7" i="7" s="1"/>
  <c r="H11" i="88"/>
  <c r="H15" i="88"/>
  <c r="I27" i="88"/>
  <c r="D11" i="7"/>
  <c r="H24" i="86"/>
  <c r="J23" i="86"/>
  <c r="K23" i="86" s="1"/>
  <c r="J25" i="90"/>
  <c r="K25" i="90" s="1"/>
  <c r="J21" i="88"/>
  <c r="K21" i="88" s="1"/>
  <c r="H15" i="92"/>
  <c r="H22" i="92"/>
  <c r="H11" i="92"/>
  <c r="H24" i="91"/>
  <c r="H22" i="91"/>
  <c r="H15" i="91"/>
  <c r="H10" i="91"/>
  <c r="H22" i="90"/>
  <c r="J21" i="90"/>
  <c r="K21" i="90" s="1"/>
  <c r="H20" i="90"/>
  <c r="H15" i="90"/>
  <c r="D10" i="7"/>
  <c r="H10" i="85"/>
  <c r="H10" i="7" s="1"/>
  <c r="J11" i="90"/>
  <c r="K11" i="90" s="1"/>
  <c r="H10" i="90"/>
  <c r="H22" i="89"/>
  <c r="H11" i="89"/>
  <c r="H6" i="85"/>
  <c r="H6" i="7" s="1"/>
  <c r="H8" i="85"/>
  <c r="H8" i="7" s="1"/>
  <c r="H13" i="7" s="1"/>
  <c r="H11" i="85"/>
  <c r="H11" i="7" s="1"/>
  <c r="H22" i="88"/>
  <c r="K11" i="87"/>
  <c r="J13" i="87"/>
  <c r="H11" i="87"/>
  <c r="H19" i="87"/>
  <c r="H16" i="87"/>
  <c r="H12" i="87"/>
  <c r="D12" i="7"/>
  <c r="D8" i="7"/>
  <c r="H22" i="86"/>
  <c r="J19" i="86"/>
  <c r="K19" i="86" s="1"/>
  <c r="G6" i="85"/>
  <c r="G6" i="7" s="1"/>
  <c r="G13" i="7" s="1"/>
  <c r="K10" i="92"/>
  <c r="J13" i="92"/>
  <c r="J17" i="92"/>
  <c r="J8" i="92"/>
  <c r="K7" i="92"/>
  <c r="K19" i="92"/>
  <c r="J26" i="92"/>
  <c r="H16" i="92"/>
  <c r="H19" i="92"/>
  <c r="H23" i="92"/>
  <c r="H7" i="92"/>
  <c r="H8" i="92" s="1"/>
  <c r="H10" i="92"/>
  <c r="K15" i="92"/>
  <c r="H20" i="92"/>
  <c r="H24" i="92"/>
  <c r="K10" i="91"/>
  <c r="J8" i="91"/>
  <c r="K7" i="91"/>
  <c r="J17" i="91"/>
  <c r="K15" i="91"/>
  <c r="K19" i="91"/>
  <c r="H16" i="91"/>
  <c r="H19" i="91"/>
  <c r="H23" i="91"/>
  <c r="K19" i="90"/>
  <c r="K10" i="90"/>
  <c r="J8" i="90"/>
  <c r="K7" i="90"/>
  <c r="J17" i="90"/>
  <c r="K15" i="90"/>
  <c r="H16" i="90"/>
  <c r="H19" i="90"/>
  <c r="H23" i="90"/>
  <c r="H24" i="90"/>
  <c r="K10" i="89"/>
  <c r="J13" i="89"/>
  <c r="J8" i="89"/>
  <c r="K7" i="89"/>
  <c r="K19" i="89"/>
  <c r="H16" i="89"/>
  <c r="H19" i="89"/>
  <c r="H23" i="89"/>
  <c r="H7" i="89"/>
  <c r="H8" i="89" s="1"/>
  <c r="H10" i="89"/>
  <c r="H20" i="89"/>
  <c r="H24" i="89"/>
  <c r="J13" i="88"/>
  <c r="K10" i="88"/>
  <c r="J17" i="88"/>
  <c r="J8" i="88"/>
  <c r="K7" i="88"/>
  <c r="K19" i="88"/>
  <c r="H16" i="88"/>
  <c r="H19" i="88"/>
  <c r="H23" i="88"/>
  <c r="H7" i="88"/>
  <c r="H8" i="88" s="1"/>
  <c r="H10" i="88"/>
  <c r="K15" i="88"/>
  <c r="H20" i="88"/>
  <c r="H24" i="88"/>
  <c r="K19" i="87"/>
  <c r="K10" i="87"/>
  <c r="J8" i="87"/>
  <c r="K7" i="87"/>
  <c r="J17" i="87"/>
  <c r="J25" i="87"/>
  <c r="K25" i="87" s="1"/>
  <c r="H7" i="87"/>
  <c r="H10" i="87"/>
  <c r="K15" i="87"/>
  <c r="H20" i="87"/>
  <c r="H24" i="87"/>
  <c r="J10" i="86"/>
  <c r="K10" i="86" s="1"/>
  <c r="F6" i="7"/>
  <c r="F12" i="7"/>
  <c r="F10" i="7"/>
  <c r="D9" i="7"/>
  <c r="F8" i="7"/>
  <c r="H21" i="86"/>
  <c r="H25" i="86"/>
  <c r="H16" i="86"/>
  <c r="H12" i="86"/>
  <c r="K7" i="86"/>
  <c r="J8" i="86"/>
  <c r="H7" i="86"/>
  <c r="I17" i="86"/>
  <c r="I13" i="86"/>
  <c r="J17" i="86"/>
  <c r="I26" i="86"/>
  <c r="D28" i="57"/>
  <c r="D29" i="57"/>
  <c r="D27" i="57"/>
  <c r="D21" i="7" s="1"/>
  <c r="D29" i="54"/>
  <c r="D30" i="54"/>
  <c r="D28" i="54"/>
  <c r="J10" i="85" l="1"/>
  <c r="J10" i="7" s="1"/>
  <c r="H13" i="92"/>
  <c r="H17" i="90"/>
  <c r="H13" i="91"/>
  <c r="D23" i="7"/>
  <c r="D46" i="8" s="1"/>
  <c r="F48" i="35" s="1"/>
  <c r="D22" i="7"/>
  <c r="D45" i="8" s="1"/>
  <c r="F47" i="35" s="1"/>
  <c r="H17" i="87"/>
  <c r="H17" i="88"/>
  <c r="I27" i="86"/>
  <c r="J13" i="86"/>
  <c r="L10" i="85"/>
  <c r="L10" i="7" s="1"/>
  <c r="H17" i="91"/>
  <c r="H8" i="86"/>
  <c r="I12" i="85"/>
  <c r="H13" i="89"/>
  <c r="H17" i="89"/>
  <c r="J26" i="89"/>
  <c r="J17" i="89"/>
  <c r="L8" i="85"/>
  <c r="L8" i="7" s="1"/>
  <c r="L12" i="85"/>
  <c r="L12" i="7" s="1"/>
  <c r="D30" i="57"/>
  <c r="D44" i="8"/>
  <c r="F46" i="35" s="1"/>
  <c r="J6" i="85"/>
  <c r="J6" i="7" s="1"/>
  <c r="J13" i="91"/>
  <c r="L6" i="85"/>
  <c r="L6" i="7" s="1"/>
  <c r="J26" i="91"/>
  <c r="H13" i="85"/>
  <c r="H14" i="85" s="1"/>
  <c r="H9" i="7"/>
  <c r="H17" i="86"/>
  <c r="K11" i="85"/>
  <c r="K11" i="7" s="1"/>
  <c r="L11" i="85"/>
  <c r="L11" i="7" s="1"/>
  <c r="J27" i="92"/>
  <c r="H17" i="92"/>
  <c r="K9" i="85"/>
  <c r="K9" i="7" s="1"/>
  <c r="K13" i="7" s="1"/>
  <c r="J9" i="85"/>
  <c r="H13" i="88"/>
  <c r="L9" i="85"/>
  <c r="L9" i="7" s="1"/>
  <c r="H8" i="87"/>
  <c r="L7" i="85"/>
  <c r="L7" i="7" s="1"/>
  <c r="J26" i="90"/>
  <c r="J26" i="86"/>
  <c r="J13" i="90"/>
  <c r="H13" i="86"/>
  <c r="H26" i="86"/>
  <c r="H26" i="91"/>
  <c r="H13" i="90"/>
  <c r="H13" i="87"/>
  <c r="H26" i="87"/>
  <c r="J26" i="88"/>
  <c r="J27" i="88" s="1"/>
  <c r="H26" i="90"/>
  <c r="H26" i="92"/>
  <c r="H27" i="92" s="1"/>
  <c r="H26" i="89"/>
  <c r="H27" i="89" s="1"/>
  <c r="H26" i="88"/>
  <c r="J26" i="87"/>
  <c r="J27" i="87" s="1"/>
  <c r="H28" i="35"/>
  <c r="H73" i="8"/>
  <c r="G94" i="8"/>
  <c r="D11" i="8"/>
  <c r="H72" i="8"/>
  <c r="H9" i="8"/>
  <c r="H9" i="35" s="1"/>
  <c r="M9" i="35"/>
  <c r="N9" i="35" s="1"/>
  <c r="L13" i="7" l="1"/>
  <c r="L39" i="7" s="1"/>
  <c r="L40" i="7" s="1"/>
  <c r="J27" i="86"/>
  <c r="H76" i="35"/>
  <c r="D76" i="30"/>
  <c r="I76" i="30" s="1"/>
  <c r="Q76" i="30" s="1"/>
  <c r="J27" i="91"/>
  <c r="H77" i="35"/>
  <c r="D77" i="30"/>
  <c r="I77" i="30" s="1"/>
  <c r="Q77" i="30" s="1"/>
  <c r="H27" i="91"/>
  <c r="J27" i="89"/>
  <c r="J27" i="90"/>
  <c r="H27" i="88"/>
  <c r="H27" i="86"/>
  <c r="H27" i="90"/>
  <c r="H27" i="87"/>
  <c r="I72" i="8"/>
  <c r="I73" i="8"/>
  <c r="H78" i="30"/>
  <c r="Q78" i="30" s="1"/>
  <c r="I70" i="8"/>
  <c r="J13" i="85"/>
  <c r="J9" i="7"/>
  <c r="I13" i="85"/>
  <c r="I12" i="7"/>
  <c r="K13" i="85"/>
  <c r="L13" i="85"/>
  <c r="G73" i="30"/>
  <c r="Q73" i="30" s="1"/>
  <c r="I9" i="8"/>
  <c r="D13" i="30"/>
  <c r="G13" i="30" s="1"/>
  <c r="Q31" i="30"/>
  <c r="L63" i="35"/>
  <c r="G66" i="35"/>
  <c r="F66" i="35"/>
  <c r="G53" i="35"/>
  <c r="E53" i="35"/>
  <c r="O63" i="35"/>
  <c r="N15" i="35"/>
  <c r="N16" i="35"/>
  <c r="N17" i="35"/>
  <c r="N18" i="35"/>
  <c r="N19" i="35"/>
  <c r="N20" i="35"/>
  <c r="N21" i="35"/>
  <c r="N22" i="35"/>
  <c r="N23" i="35"/>
  <c r="N24" i="35"/>
  <c r="N25" i="35"/>
  <c r="N26" i="35"/>
  <c r="N27" i="35"/>
  <c r="N28" i="35"/>
  <c r="N14" i="35"/>
  <c r="G4" i="35"/>
  <c r="H4" i="8"/>
  <c r="F4" i="35"/>
  <c r="I27" i="8"/>
  <c r="N29" i="35" l="1"/>
  <c r="H4" i="35"/>
  <c r="H10" i="8" l="1"/>
  <c r="H10" i="35" s="1"/>
  <c r="D10" i="55"/>
  <c r="D17" i="55"/>
  <c r="D24" i="55"/>
  <c r="D28" i="55"/>
  <c r="D31" i="55" s="1"/>
  <c r="D28" i="12"/>
  <c r="D31" i="12" s="1"/>
  <c r="D24" i="12"/>
  <c r="D17" i="12"/>
  <c r="D10" i="12"/>
  <c r="D28" i="52"/>
  <c r="D31" i="52" s="1"/>
  <c r="D24" i="52"/>
  <c r="D17" i="52"/>
  <c r="D10" i="52"/>
  <c r="D28" i="53"/>
  <c r="D31" i="53" s="1"/>
  <c r="D24" i="53"/>
  <c r="D17" i="53"/>
  <c r="D10" i="53"/>
  <c r="D31" i="54"/>
  <c r="D24" i="54"/>
  <c r="D17" i="54"/>
  <c r="D10" i="54"/>
  <c r="D31" i="56"/>
  <c r="D43" i="8"/>
  <c r="F45" i="35" s="1"/>
  <c r="D28" i="60"/>
  <c r="D31" i="60" s="1"/>
  <c r="D24" i="60"/>
  <c r="D17" i="60"/>
  <c r="D10" i="60"/>
  <c r="D21" i="12"/>
  <c r="D14" i="12"/>
  <c r="D7" i="12"/>
  <c r="D21" i="52"/>
  <c r="D14" i="52"/>
  <c r="D7" i="52"/>
  <c r="D21" i="53"/>
  <c r="D14" i="53"/>
  <c r="D7" i="53"/>
  <c r="D21" i="54"/>
  <c r="D14" i="54"/>
  <c r="D7" i="54"/>
  <c r="D21" i="55"/>
  <c r="D14" i="55"/>
  <c r="D7" i="55"/>
  <c r="D21" i="60"/>
  <c r="D14" i="60"/>
  <c r="D7" i="60"/>
  <c r="H8" i="8"/>
  <c r="H8" i="35" s="1"/>
  <c r="M8" i="35"/>
  <c r="N8" i="35" s="1"/>
  <c r="D24" i="7" l="1"/>
  <c r="D47" i="8" s="1"/>
  <c r="K79" i="30"/>
  <c r="L79" i="30"/>
  <c r="M79" i="30"/>
  <c r="N79" i="30"/>
  <c r="O79" i="30"/>
  <c r="D40" i="8"/>
  <c r="F42" i="35" s="1"/>
  <c r="D12" i="30"/>
  <c r="G12" i="30" s="1"/>
  <c r="D14" i="30"/>
  <c r="I10" i="8"/>
  <c r="I8" i="8"/>
  <c r="I14" i="30" l="1"/>
  <c r="L14" i="30"/>
  <c r="K14" i="30"/>
  <c r="E31" i="8"/>
  <c r="E32" i="8"/>
  <c r="E33" i="8"/>
  <c r="E34" i="8"/>
  <c r="E35" i="8"/>
  <c r="E36" i="8"/>
  <c r="E30" i="8"/>
  <c r="D31" i="8"/>
  <c r="D32" i="8"/>
  <c r="D34" i="8"/>
  <c r="F35" i="35" s="1"/>
  <c r="D35" i="8"/>
  <c r="F36" i="35" s="1"/>
  <c r="D36" i="8"/>
  <c r="D30" i="8"/>
  <c r="C31" i="8"/>
  <c r="E32" i="35" s="1"/>
  <c r="C32" i="8"/>
  <c r="E33" i="35" s="1"/>
  <c r="C33" i="8"/>
  <c r="E34" i="35" s="1"/>
  <c r="C34" i="8"/>
  <c r="E35" i="35" s="1"/>
  <c r="C35" i="8"/>
  <c r="E36" i="35" s="1"/>
  <c r="C36" i="8"/>
  <c r="E37" i="35" s="1"/>
  <c r="C30" i="8"/>
  <c r="E31" i="35" s="1"/>
  <c r="D33" i="8"/>
  <c r="F37" i="35" l="1"/>
  <c r="G36" i="8"/>
  <c r="M37" i="35" s="1"/>
  <c r="N37" i="35" s="1"/>
  <c r="C38" i="30"/>
  <c r="C35" i="30"/>
  <c r="C34" i="30"/>
  <c r="C37" i="30"/>
  <c r="C40" i="30"/>
  <c r="C36" i="30"/>
  <c r="C39" i="30"/>
  <c r="G31" i="8"/>
  <c r="M32" i="35" s="1"/>
  <c r="N32" i="35" s="1"/>
  <c r="F32" i="35"/>
  <c r="G33" i="8"/>
  <c r="M34" i="35" s="1"/>
  <c r="N34" i="35" s="1"/>
  <c r="F34" i="35"/>
  <c r="G30" i="8"/>
  <c r="F31" i="35"/>
  <c r="G32" i="8"/>
  <c r="M33" i="35" s="1"/>
  <c r="N33" i="35" s="1"/>
  <c r="F33" i="35"/>
  <c r="G34" i="8"/>
  <c r="M35" i="35" s="1"/>
  <c r="N35" i="35" s="1"/>
  <c r="G35" i="8"/>
  <c r="M36" i="35" s="1"/>
  <c r="N36" i="35" s="1"/>
  <c r="H67" i="8"/>
  <c r="G37" i="8" l="1"/>
  <c r="H75" i="8"/>
  <c r="I75" i="8" s="1"/>
  <c r="D71" i="30"/>
  <c r="G71" i="30" s="1"/>
  <c r="Q71" i="30" s="1"/>
  <c r="H71" i="35"/>
  <c r="M31" i="35"/>
  <c r="I67" i="8"/>
  <c r="G72" i="30"/>
  <c r="Q72" i="30" s="1"/>
  <c r="I70" i="30"/>
  <c r="Q70" i="30" s="1"/>
  <c r="I62" i="8"/>
  <c r="H66" i="35"/>
  <c r="J60" i="8"/>
  <c r="H15" i="35"/>
  <c r="H17" i="35"/>
  <c r="H18" i="35"/>
  <c r="H19" i="35"/>
  <c r="H20" i="35"/>
  <c r="H21" i="35"/>
  <c r="H22" i="35"/>
  <c r="H23" i="35"/>
  <c r="H24" i="35"/>
  <c r="H25" i="35"/>
  <c r="H26" i="35"/>
  <c r="H27" i="35"/>
  <c r="F28" i="8"/>
  <c r="H79" i="35" l="1"/>
  <c r="N31" i="35"/>
  <c r="N38" i="35" s="1"/>
  <c r="M38" i="35"/>
  <c r="Q27" i="30"/>
  <c r="Q23" i="30"/>
  <c r="Q18" i="30"/>
  <c r="Q30" i="30"/>
  <c r="Q26" i="30"/>
  <c r="Q22" i="30"/>
  <c r="Q29" i="30"/>
  <c r="Q21" i="30"/>
  <c r="Q25" i="30"/>
  <c r="Q28" i="30"/>
  <c r="Q24" i="30"/>
  <c r="Q20" i="30"/>
  <c r="G14" i="35"/>
  <c r="I24" i="8"/>
  <c r="I21" i="8"/>
  <c r="I17" i="8"/>
  <c r="I23" i="8"/>
  <c r="I20" i="8"/>
  <c r="I26" i="8"/>
  <c r="I22" i="8"/>
  <c r="I19" i="8"/>
  <c r="I14" i="8"/>
  <c r="I25" i="8"/>
  <c r="I18" i="8"/>
  <c r="J50" i="8"/>
  <c r="F53" i="35"/>
  <c r="D54" i="30"/>
  <c r="M5" i="35"/>
  <c r="N5" i="35" s="1"/>
  <c r="M7" i="35"/>
  <c r="N7" i="35" s="1"/>
  <c r="H5" i="8"/>
  <c r="H6" i="8"/>
  <c r="I4" i="8"/>
  <c r="F30" i="7"/>
  <c r="F52" i="8" s="1"/>
  <c r="G55" i="35" s="1"/>
  <c r="F31" i="7"/>
  <c r="F53" i="8" s="1"/>
  <c r="G56" i="35" s="1"/>
  <c r="F32" i="7"/>
  <c r="F54" i="8" s="1"/>
  <c r="G57" i="35" s="1"/>
  <c r="F33" i="7"/>
  <c r="F55" i="8" s="1"/>
  <c r="G58" i="35" s="1"/>
  <c r="F34" i="7"/>
  <c r="F56" i="8" s="1"/>
  <c r="G59" i="35" s="1"/>
  <c r="F29" i="7"/>
  <c r="D6" i="63"/>
  <c r="D20" i="63" s="1"/>
  <c r="D13" i="77"/>
  <c r="D25" i="78"/>
  <c r="D27" i="78" s="1"/>
  <c r="D6" i="81"/>
  <c r="D25" i="81" s="1"/>
  <c r="D26" i="81" s="1"/>
  <c r="D6" i="82"/>
  <c r="D25" i="82" s="1"/>
  <c r="D6" i="84"/>
  <c r="F25" i="84"/>
  <c r="F24" i="84"/>
  <c r="F22" i="84"/>
  <c r="D22" i="84"/>
  <c r="G22" i="84" s="1"/>
  <c r="F17" i="84"/>
  <c r="D17" i="84"/>
  <c r="G17" i="84" s="1"/>
  <c r="F13" i="84"/>
  <c r="F12" i="84"/>
  <c r="F10" i="84"/>
  <c r="D10" i="84"/>
  <c r="G10" i="84" s="1"/>
  <c r="G7" i="84"/>
  <c r="J6" i="84"/>
  <c r="K6" i="84" s="1"/>
  <c r="H6" i="84"/>
  <c r="J5" i="84"/>
  <c r="K5" i="84" s="1"/>
  <c r="F5" i="84"/>
  <c r="H5" i="84" s="1"/>
  <c r="F25" i="83"/>
  <c r="F24" i="83"/>
  <c r="D22" i="83"/>
  <c r="G22" i="83" s="1"/>
  <c r="J22" i="83" s="1"/>
  <c r="D17" i="83"/>
  <c r="G17" i="83" s="1"/>
  <c r="H17" i="83" s="1"/>
  <c r="F13" i="83"/>
  <c r="D10" i="83"/>
  <c r="G10" i="83" s="1"/>
  <c r="G7" i="83"/>
  <c r="J6" i="83"/>
  <c r="K6" i="83" s="1"/>
  <c r="H6" i="83"/>
  <c r="J5" i="83"/>
  <c r="K5" i="83" s="1"/>
  <c r="F5" i="83"/>
  <c r="H5" i="83" s="1"/>
  <c r="F25" i="82"/>
  <c r="F24" i="82"/>
  <c r="F23" i="82"/>
  <c r="F22" i="82"/>
  <c r="D22" i="82"/>
  <c r="G22" i="82" s="1"/>
  <c r="F18" i="82"/>
  <c r="F17" i="82"/>
  <c r="D17" i="82"/>
  <c r="G17" i="82" s="1"/>
  <c r="F13" i="82"/>
  <c r="F12" i="82"/>
  <c r="F11" i="82"/>
  <c r="F10" i="82"/>
  <c r="G10" i="82"/>
  <c r="G7" i="82"/>
  <c r="J6" i="82"/>
  <c r="K6" i="82" s="1"/>
  <c r="H6" i="82"/>
  <c r="J5" i="82"/>
  <c r="K5" i="82" s="1"/>
  <c r="F5" i="82"/>
  <c r="H5" i="82" s="1"/>
  <c r="F25" i="81"/>
  <c r="F24" i="81"/>
  <c r="F23" i="81"/>
  <c r="F22" i="81"/>
  <c r="D22" i="81"/>
  <c r="G22" i="81" s="1"/>
  <c r="F18" i="81"/>
  <c r="F17" i="81"/>
  <c r="D17" i="81"/>
  <c r="G17" i="81" s="1"/>
  <c r="F13" i="81"/>
  <c r="F12" i="81"/>
  <c r="F11" i="81"/>
  <c r="F10" i="81"/>
  <c r="D10" i="81"/>
  <c r="G10" i="81" s="1"/>
  <c r="G7" i="81"/>
  <c r="J6" i="81"/>
  <c r="K6" i="81" s="1"/>
  <c r="H6" i="81"/>
  <c r="J5" i="81"/>
  <c r="K5" i="81" s="1"/>
  <c r="F5" i="81"/>
  <c r="H5" i="81" s="1"/>
  <c r="D27" i="79"/>
  <c r="F27" i="79"/>
  <c r="F26" i="79"/>
  <c r="F25" i="79"/>
  <c r="F24" i="79"/>
  <c r="D24" i="79"/>
  <c r="G24" i="79" s="1"/>
  <c r="F20" i="79"/>
  <c r="F19" i="79"/>
  <c r="D19" i="79"/>
  <c r="G19" i="79" s="1"/>
  <c r="F15" i="79"/>
  <c r="F14" i="79"/>
  <c r="F13" i="79"/>
  <c r="F12" i="79"/>
  <c r="D12" i="79"/>
  <c r="G12" i="79" s="1"/>
  <c r="J6" i="79"/>
  <c r="K6" i="79" s="1"/>
  <c r="H6" i="79"/>
  <c r="J5" i="79"/>
  <c r="F5" i="79"/>
  <c r="H5" i="79" s="1"/>
  <c r="H9" i="79" s="1"/>
  <c r="F25" i="78"/>
  <c r="F24" i="78"/>
  <c r="F23" i="78"/>
  <c r="F22" i="78"/>
  <c r="D22" i="78"/>
  <c r="G22" i="78" s="1"/>
  <c r="F18" i="78"/>
  <c r="F17" i="78"/>
  <c r="G17" i="78"/>
  <c r="F13" i="78"/>
  <c r="F12" i="78"/>
  <c r="F11" i="78"/>
  <c r="F10" i="78"/>
  <c r="D10" i="78"/>
  <c r="G10" i="78" s="1"/>
  <c r="J6" i="78"/>
  <c r="K6" i="78" s="1"/>
  <c r="H6" i="78"/>
  <c r="J5" i="78"/>
  <c r="K5" i="78" s="1"/>
  <c r="F5" i="78"/>
  <c r="H5" i="78" s="1"/>
  <c r="D24" i="77"/>
  <c r="G24" i="77" s="1"/>
  <c r="D12" i="77"/>
  <c r="G12" i="77" s="1"/>
  <c r="F27" i="77"/>
  <c r="F26" i="77"/>
  <c r="F25" i="77"/>
  <c r="F24" i="77"/>
  <c r="F20" i="77"/>
  <c r="F19" i="77"/>
  <c r="D19" i="77"/>
  <c r="G19" i="77" s="1"/>
  <c r="F15" i="77"/>
  <c r="F14" i="77"/>
  <c r="F13" i="77"/>
  <c r="F12" i="77"/>
  <c r="J6" i="77"/>
  <c r="K6" i="77" s="1"/>
  <c r="H6" i="77"/>
  <c r="J5" i="77"/>
  <c r="F5" i="77"/>
  <c r="H5" i="77" s="1"/>
  <c r="F27" i="76"/>
  <c r="F26" i="76"/>
  <c r="F25" i="76"/>
  <c r="F24" i="76"/>
  <c r="D24" i="76"/>
  <c r="G24" i="76" s="1"/>
  <c r="F20" i="76"/>
  <c r="F19" i="76"/>
  <c r="D19" i="76"/>
  <c r="G19" i="76" s="1"/>
  <c r="F15" i="76"/>
  <c r="F14" i="76"/>
  <c r="F13" i="76"/>
  <c r="F12" i="76"/>
  <c r="D12" i="76"/>
  <c r="G12" i="76" s="1"/>
  <c r="J6" i="76"/>
  <c r="K6" i="76" s="1"/>
  <c r="H6" i="76"/>
  <c r="J5" i="76"/>
  <c r="F5" i="76"/>
  <c r="H5" i="76" s="1"/>
  <c r="D12" i="63"/>
  <c r="G12" i="63" s="1"/>
  <c r="F25" i="63"/>
  <c r="F26" i="63"/>
  <c r="F27" i="63"/>
  <c r="D24" i="63"/>
  <c r="F15" i="63"/>
  <c r="D19" i="63"/>
  <c r="F14" i="63"/>
  <c r="H9" i="76" l="1"/>
  <c r="H22" i="84"/>
  <c r="D25" i="84"/>
  <c r="D26" i="84" s="1"/>
  <c r="D18" i="84"/>
  <c r="G18" i="84" s="1"/>
  <c r="J18" i="84" s="1"/>
  <c r="D29" i="79"/>
  <c r="G29" i="79" s="1"/>
  <c r="M26" i="78"/>
  <c r="H9" i="77"/>
  <c r="D24" i="82"/>
  <c r="G24" i="82" s="1"/>
  <c r="D26" i="82"/>
  <c r="G26" i="82" s="1"/>
  <c r="F51" i="8"/>
  <c r="G54" i="35" s="1"/>
  <c r="D24" i="81"/>
  <c r="G24" i="81" s="1"/>
  <c r="M27" i="78"/>
  <c r="G26" i="81"/>
  <c r="K5" i="79"/>
  <c r="J9" i="79"/>
  <c r="J10" i="83"/>
  <c r="H5" i="35"/>
  <c r="H11" i="8"/>
  <c r="D25" i="83"/>
  <c r="D26" i="83" s="1"/>
  <c r="G26" i="83" s="1"/>
  <c r="G18" i="83"/>
  <c r="J18" i="83" s="1"/>
  <c r="D26" i="79"/>
  <c r="G26" i="79" s="1"/>
  <c r="D24" i="78"/>
  <c r="G24" i="78" s="1"/>
  <c r="G27" i="78"/>
  <c r="K5" i="77"/>
  <c r="J9" i="77"/>
  <c r="K5" i="76"/>
  <c r="J9" i="76"/>
  <c r="D14" i="76"/>
  <c r="G14" i="76" s="1"/>
  <c r="D13" i="76"/>
  <c r="G13" i="76" s="1"/>
  <c r="D27" i="76"/>
  <c r="D29" i="76" s="1"/>
  <c r="D25" i="63"/>
  <c r="J6" i="63"/>
  <c r="H6" i="35"/>
  <c r="H22" i="82"/>
  <c r="D9" i="30"/>
  <c r="H9" i="30" s="1"/>
  <c r="H15" i="30" s="1"/>
  <c r="H7" i="81"/>
  <c r="D11" i="30"/>
  <c r="H19" i="76"/>
  <c r="D10" i="30"/>
  <c r="M4" i="35"/>
  <c r="H17" i="82"/>
  <c r="H17" i="84"/>
  <c r="H24" i="77"/>
  <c r="H17" i="81"/>
  <c r="I13" i="8"/>
  <c r="I28" i="8" s="1"/>
  <c r="H14" i="35"/>
  <c r="H29" i="35" s="1"/>
  <c r="H53" i="35"/>
  <c r="I6" i="8"/>
  <c r="I7" i="8"/>
  <c r="I5" i="8"/>
  <c r="H19" i="77"/>
  <c r="H22" i="81"/>
  <c r="H7" i="82"/>
  <c r="H19" i="79"/>
  <c r="H22" i="83"/>
  <c r="D14" i="63"/>
  <c r="G14" i="63" s="1"/>
  <c r="J14" i="63" s="1"/>
  <c r="K14" i="63" s="1"/>
  <c r="H7" i="78"/>
  <c r="H7" i="83"/>
  <c r="H7" i="84"/>
  <c r="D29" i="7"/>
  <c r="D51" i="8" s="1"/>
  <c r="D15" i="63"/>
  <c r="G15" i="63" s="1"/>
  <c r="D27" i="63"/>
  <c r="D29" i="63" s="1"/>
  <c r="D13" i="63"/>
  <c r="G13" i="63" s="1"/>
  <c r="J13" i="63" s="1"/>
  <c r="K13" i="63" s="1"/>
  <c r="D27" i="77"/>
  <c r="D29" i="77" s="1"/>
  <c r="J10" i="84"/>
  <c r="H10" i="84"/>
  <c r="J7" i="84"/>
  <c r="J17" i="84"/>
  <c r="D11" i="84"/>
  <c r="D13" i="84"/>
  <c r="D12" i="84"/>
  <c r="D23" i="84"/>
  <c r="G23" i="84" s="1"/>
  <c r="H10" i="83"/>
  <c r="J7" i="83"/>
  <c r="J17" i="83"/>
  <c r="D13" i="83"/>
  <c r="G13" i="83" s="1"/>
  <c r="D12" i="83"/>
  <c r="G12" i="83" s="1"/>
  <c r="G23" i="83"/>
  <c r="J23" i="83" s="1"/>
  <c r="G25" i="82"/>
  <c r="J10" i="82"/>
  <c r="H10" i="82"/>
  <c r="J7" i="82"/>
  <c r="J17" i="82"/>
  <c r="D11" i="82"/>
  <c r="D13" i="82"/>
  <c r="G13" i="82" s="1"/>
  <c r="J22" i="82"/>
  <c r="D18" i="82"/>
  <c r="G18" i="82" s="1"/>
  <c r="D12" i="82"/>
  <c r="G12" i="82" s="1"/>
  <c r="D23" i="82"/>
  <c r="G23" i="82" s="1"/>
  <c r="G25" i="81"/>
  <c r="J10" i="81"/>
  <c r="H10" i="81"/>
  <c r="J7" i="81"/>
  <c r="J17" i="81"/>
  <c r="D11" i="81"/>
  <c r="G11" i="81" s="1"/>
  <c r="D13" i="81"/>
  <c r="G13" i="81" s="1"/>
  <c r="J22" i="81"/>
  <c r="D18" i="81"/>
  <c r="G18" i="81" s="1"/>
  <c r="D12" i="81"/>
  <c r="G12" i="81" s="1"/>
  <c r="D23" i="81"/>
  <c r="G23" i="81" s="1"/>
  <c r="J24" i="79"/>
  <c r="H24" i="79"/>
  <c r="G27" i="79"/>
  <c r="J12" i="79"/>
  <c r="H12" i="79"/>
  <c r="D20" i="79"/>
  <c r="G20" i="79" s="1"/>
  <c r="G21" i="79" s="1"/>
  <c r="J19" i="79"/>
  <c r="G13" i="79"/>
  <c r="D15" i="79"/>
  <c r="G15" i="79" s="1"/>
  <c r="D14" i="79"/>
  <c r="G14" i="79" s="1"/>
  <c r="D25" i="79"/>
  <c r="G25" i="79" s="1"/>
  <c r="J10" i="78"/>
  <c r="H10" i="78"/>
  <c r="G25" i="78"/>
  <c r="H22" i="78"/>
  <c r="J22" i="78"/>
  <c r="H17" i="78"/>
  <c r="J17" i="78"/>
  <c r="J7" i="78"/>
  <c r="D11" i="78"/>
  <c r="G11" i="78" s="1"/>
  <c r="D13" i="78"/>
  <c r="G13" i="78" s="1"/>
  <c r="D18" i="78"/>
  <c r="G18" i="78" s="1"/>
  <c r="G19" i="78" s="1"/>
  <c r="D12" i="78"/>
  <c r="G12" i="78" s="1"/>
  <c r="D23" i="78"/>
  <c r="G23" i="78" s="1"/>
  <c r="J12" i="77"/>
  <c r="H12" i="77"/>
  <c r="D20" i="77"/>
  <c r="G20" i="77" s="1"/>
  <c r="J19" i="77"/>
  <c r="G13" i="77"/>
  <c r="D15" i="77"/>
  <c r="G15" i="77" s="1"/>
  <c r="J24" i="77"/>
  <c r="D14" i="77"/>
  <c r="G14" i="77" s="1"/>
  <c r="D25" i="77"/>
  <c r="G25" i="77" s="1"/>
  <c r="D15" i="76"/>
  <c r="G15" i="76" s="1"/>
  <c r="J15" i="76" s="1"/>
  <c r="K15" i="76" s="1"/>
  <c r="J24" i="76"/>
  <c r="H24" i="76"/>
  <c r="H12" i="76"/>
  <c r="J19" i="76"/>
  <c r="D20" i="76"/>
  <c r="G20" i="76" s="1"/>
  <c r="J12" i="76"/>
  <c r="D25" i="76"/>
  <c r="G25" i="76" s="1"/>
  <c r="H6" i="63"/>
  <c r="D24" i="83" l="1"/>
  <c r="G24" i="83" s="1"/>
  <c r="J24" i="83" s="1"/>
  <c r="D24" i="84"/>
  <c r="G26" i="84" s="1"/>
  <c r="H26" i="84" s="1"/>
  <c r="D30" i="7"/>
  <c r="M25" i="7" s="1"/>
  <c r="G25" i="84"/>
  <c r="H25" i="84" s="1"/>
  <c r="G16" i="76"/>
  <c r="G28" i="78"/>
  <c r="G14" i="78"/>
  <c r="G25" i="83"/>
  <c r="J25" i="83" s="1"/>
  <c r="J27" i="83" s="1"/>
  <c r="G11" i="84"/>
  <c r="H11" i="84" s="1"/>
  <c r="J37" i="7" s="1"/>
  <c r="D37" i="7"/>
  <c r="J23" i="84"/>
  <c r="K23" i="84" s="1"/>
  <c r="H23" i="84"/>
  <c r="L37" i="7" s="1"/>
  <c r="D36" i="7"/>
  <c r="G30" i="79"/>
  <c r="D34" i="7"/>
  <c r="G11" i="82"/>
  <c r="J11" i="82" s="1"/>
  <c r="K11" i="82" s="1"/>
  <c r="G14" i="83"/>
  <c r="J26" i="83"/>
  <c r="K26" i="83" s="1"/>
  <c r="H26" i="83"/>
  <c r="M28" i="78"/>
  <c r="J26" i="82"/>
  <c r="K26" i="82" s="1"/>
  <c r="H26" i="82"/>
  <c r="N4" i="35"/>
  <c r="N11" i="35" s="1"/>
  <c r="M11" i="35"/>
  <c r="G27" i="82"/>
  <c r="J26" i="84"/>
  <c r="K26" i="84" s="1"/>
  <c r="J26" i="81"/>
  <c r="K26" i="81" s="1"/>
  <c r="H26" i="81"/>
  <c r="H11" i="35"/>
  <c r="G29" i="63"/>
  <c r="J29" i="63" s="1"/>
  <c r="K29" i="63" s="1"/>
  <c r="J29" i="79"/>
  <c r="K29" i="79" s="1"/>
  <c r="H29" i="79"/>
  <c r="J27" i="78"/>
  <c r="K27" i="78" s="1"/>
  <c r="H27" i="78"/>
  <c r="D26" i="77"/>
  <c r="G26" i="77" s="1"/>
  <c r="H26" i="77" s="1"/>
  <c r="G29" i="77"/>
  <c r="J13" i="76"/>
  <c r="K13" i="76" s="1"/>
  <c r="H13" i="76"/>
  <c r="G29" i="76"/>
  <c r="D26" i="76"/>
  <c r="G27" i="76"/>
  <c r="J27" i="76" s="1"/>
  <c r="K6" i="63"/>
  <c r="J9" i="63"/>
  <c r="Q54" i="30"/>
  <c r="L10" i="30"/>
  <c r="K10" i="30"/>
  <c r="I10" i="30"/>
  <c r="K11" i="30"/>
  <c r="L11" i="30"/>
  <c r="I11" i="30"/>
  <c r="J15" i="30"/>
  <c r="I11" i="8"/>
  <c r="H14" i="63"/>
  <c r="M53" i="35"/>
  <c r="G29" i="7"/>
  <c r="F54" i="35"/>
  <c r="G27" i="81"/>
  <c r="G13" i="84"/>
  <c r="H13" i="84" s="1"/>
  <c r="D32" i="7"/>
  <c r="D54" i="8" s="1"/>
  <c r="F57" i="35" s="1"/>
  <c r="G12" i="84"/>
  <c r="J12" i="84" s="1"/>
  <c r="K12" i="84" s="1"/>
  <c r="D31" i="7"/>
  <c r="D53" i="8" s="1"/>
  <c r="F56" i="35" s="1"/>
  <c r="G24" i="84"/>
  <c r="H15" i="76"/>
  <c r="H15" i="63"/>
  <c r="J15" i="63"/>
  <c r="K15" i="63" s="1"/>
  <c r="D26" i="63"/>
  <c r="G26" i="63" s="1"/>
  <c r="G27" i="63"/>
  <c r="G16" i="63"/>
  <c r="G27" i="77"/>
  <c r="K10" i="84"/>
  <c r="K22" i="84"/>
  <c r="H18" i="84"/>
  <c r="K18" i="84"/>
  <c r="K17" i="84"/>
  <c r="G19" i="84"/>
  <c r="K23" i="83"/>
  <c r="H23" i="83"/>
  <c r="H13" i="83"/>
  <c r="J13" i="83"/>
  <c r="K13" i="83" s="1"/>
  <c r="K22" i="83"/>
  <c r="K17" i="83"/>
  <c r="K10" i="83"/>
  <c r="H18" i="83"/>
  <c r="H19" i="83" s="1"/>
  <c r="K18" i="83"/>
  <c r="J12" i="83"/>
  <c r="K12" i="83" s="1"/>
  <c r="H12" i="83"/>
  <c r="K11" i="83"/>
  <c r="H24" i="83"/>
  <c r="K24" i="83"/>
  <c r="G19" i="83"/>
  <c r="J23" i="82"/>
  <c r="K23" i="82" s="1"/>
  <c r="H23" i="82"/>
  <c r="H13" i="82"/>
  <c r="J13" i="82"/>
  <c r="K13" i="82" s="1"/>
  <c r="K22" i="82"/>
  <c r="K17" i="82"/>
  <c r="K10" i="82"/>
  <c r="H18" i="82"/>
  <c r="J18" i="82"/>
  <c r="K18" i="82" s="1"/>
  <c r="J25" i="82"/>
  <c r="K25" i="82" s="1"/>
  <c r="H25" i="82"/>
  <c r="J12" i="82"/>
  <c r="K12" i="82" s="1"/>
  <c r="H12" i="82"/>
  <c r="H11" i="82"/>
  <c r="H24" i="82"/>
  <c r="J24" i="82"/>
  <c r="K24" i="82" s="1"/>
  <c r="G19" i="82"/>
  <c r="K22" i="81"/>
  <c r="K17" i="81"/>
  <c r="K10" i="81"/>
  <c r="H18" i="81"/>
  <c r="H19" i="81" s="1"/>
  <c r="J18" i="81"/>
  <c r="K18" i="81" s="1"/>
  <c r="J25" i="81"/>
  <c r="K25" i="81" s="1"/>
  <c r="H25" i="81"/>
  <c r="J12" i="81"/>
  <c r="K12" i="81" s="1"/>
  <c r="H12" i="81"/>
  <c r="H11" i="81"/>
  <c r="J11" i="81"/>
  <c r="K11" i="81" s="1"/>
  <c r="H24" i="81"/>
  <c r="J24" i="81"/>
  <c r="K24" i="81" s="1"/>
  <c r="J23" i="81"/>
  <c r="K23" i="81" s="1"/>
  <c r="H23" i="81"/>
  <c r="J13" i="81"/>
  <c r="K13" i="81" s="1"/>
  <c r="H13" i="81"/>
  <c r="G19" i="81"/>
  <c r="G14" i="81"/>
  <c r="G16" i="79"/>
  <c r="G31" i="79" s="1"/>
  <c r="H15" i="79"/>
  <c r="J15" i="79"/>
  <c r="K15" i="79" s="1"/>
  <c r="J14" i="79"/>
  <c r="K14" i="79" s="1"/>
  <c r="H14" i="79"/>
  <c r="K19" i="79"/>
  <c r="K24" i="79"/>
  <c r="J25" i="79"/>
  <c r="K25" i="79" s="1"/>
  <c r="H25" i="79"/>
  <c r="K12" i="79"/>
  <c r="H26" i="79"/>
  <c r="J26" i="79"/>
  <c r="H13" i="79"/>
  <c r="J13" i="79"/>
  <c r="K13" i="79" s="1"/>
  <c r="H20" i="79"/>
  <c r="H21" i="79" s="1"/>
  <c r="J20" i="79"/>
  <c r="K20" i="79" s="1"/>
  <c r="J27" i="79"/>
  <c r="K27" i="79" s="1"/>
  <c r="H27" i="79"/>
  <c r="J23" i="78"/>
  <c r="K23" i="78" s="1"/>
  <c r="H23" i="78"/>
  <c r="H18" i="78"/>
  <c r="H19" i="78" s="1"/>
  <c r="J18" i="78"/>
  <c r="K18" i="78" s="1"/>
  <c r="K22" i="78"/>
  <c r="J25" i="78"/>
  <c r="K25" i="78" s="1"/>
  <c r="H25" i="78"/>
  <c r="J12" i="78"/>
  <c r="K12" i="78" s="1"/>
  <c r="H12" i="78"/>
  <c r="H24" i="78"/>
  <c r="J24" i="78"/>
  <c r="K24" i="78" s="1"/>
  <c r="K10" i="78"/>
  <c r="H11" i="78"/>
  <c r="J11" i="78"/>
  <c r="K11" i="78" s="1"/>
  <c r="H13" i="78"/>
  <c r="J13" i="78"/>
  <c r="K13" i="78" s="1"/>
  <c r="K17" i="78"/>
  <c r="J25" i="77"/>
  <c r="K25" i="77" s="1"/>
  <c r="H25" i="77"/>
  <c r="H13" i="77"/>
  <c r="J13" i="77"/>
  <c r="K13" i="77" s="1"/>
  <c r="H20" i="77"/>
  <c r="H21" i="77" s="1"/>
  <c r="J20" i="77"/>
  <c r="K20" i="77" s="1"/>
  <c r="J15" i="77"/>
  <c r="K15" i="77" s="1"/>
  <c r="H15" i="77"/>
  <c r="K12" i="77"/>
  <c r="K24" i="77"/>
  <c r="K19" i="77"/>
  <c r="J14" i="77"/>
  <c r="K14" i="77" s="1"/>
  <c r="H14" i="77"/>
  <c r="J26" i="77"/>
  <c r="K26" i="77" s="1"/>
  <c r="G16" i="77"/>
  <c r="G21" i="77"/>
  <c r="J25" i="76"/>
  <c r="K25" i="76" s="1"/>
  <c r="H25" i="76"/>
  <c r="K19" i="76"/>
  <c r="K24" i="76"/>
  <c r="H20" i="76"/>
  <c r="H21" i="76" s="1"/>
  <c r="J20" i="76"/>
  <c r="K20" i="76" s="1"/>
  <c r="G21" i="76"/>
  <c r="K12" i="76"/>
  <c r="J14" i="76"/>
  <c r="K14" i="76" s="1"/>
  <c r="H14" i="76"/>
  <c r="G14" i="82" l="1"/>
  <c r="G27" i="83"/>
  <c r="K25" i="83"/>
  <c r="J25" i="84"/>
  <c r="K25" i="84" s="1"/>
  <c r="D52" i="8"/>
  <c r="F55" i="35" s="1"/>
  <c r="G51" i="8"/>
  <c r="M54" i="35" s="1"/>
  <c r="N54" i="35" s="1"/>
  <c r="H29" i="63"/>
  <c r="D56" i="8"/>
  <c r="F59" i="35" s="1"/>
  <c r="H25" i="83"/>
  <c r="H27" i="83" s="1"/>
  <c r="K37" i="7"/>
  <c r="G27" i="84"/>
  <c r="H24" i="84"/>
  <c r="H27" i="84" s="1"/>
  <c r="D59" i="8"/>
  <c r="F62" i="35" s="1"/>
  <c r="G37" i="7"/>
  <c r="G28" i="82"/>
  <c r="H14" i="78"/>
  <c r="G28" i="83"/>
  <c r="H27" i="76"/>
  <c r="H19" i="82"/>
  <c r="J13" i="84"/>
  <c r="K13" i="84" s="1"/>
  <c r="H28" i="78"/>
  <c r="G36" i="7"/>
  <c r="H36" i="7" s="1"/>
  <c r="D58" i="8"/>
  <c r="F61" i="35" s="1"/>
  <c r="H16" i="76"/>
  <c r="H30" i="79"/>
  <c r="H14" i="83"/>
  <c r="L15" i="30"/>
  <c r="K26" i="79"/>
  <c r="J30" i="79"/>
  <c r="G30" i="77"/>
  <c r="G31" i="77" s="1"/>
  <c r="H29" i="77"/>
  <c r="J29" i="77"/>
  <c r="K29" i="77" s="1"/>
  <c r="J21" i="76"/>
  <c r="H29" i="76"/>
  <c r="J29" i="76"/>
  <c r="K29" i="76" s="1"/>
  <c r="H27" i="77"/>
  <c r="H29" i="7"/>
  <c r="K27" i="76"/>
  <c r="G29" i="78"/>
  <c r="J21" i="77"/>
  <c r="D33" i="7"/>
  <c r="D55" i="8" s="1"/>
  <c r="F58" i="35" s="1"/>
  <c r="H12" i="84"/>
  <c r="H14" i="84" s="1"/>
  <c r="J11" i="84"/>
  <c r="K11" i="84" s="1"/>
  <c r="K15" i="30"/>
  <c r="I15" i="30"/>
  <c r="G14" i="84"/>
  <c r="J24" i="84"/>
  <c r="K24" i="84" s="1"/>
  <c r="N53" i="35"/>
  <c r="H14" i="82"/>
  <c r="G26" i="76"/>
  <c r="G30" i="76" s="1"/>
  <c r="G31" i="76" s="1"/>
  <c r="G31" i="7"/>
  <c r="G34" i="7"/>
  <c r="G30" i="7"/>
  <c r="G32" i="7"/>
  <c r="H19" i="84"/>
  <c r="J32" i="7"/>
  <c r="J27" i="63"/>
  <c r="H27" i="63"/>
  <c r="H26" i="63"/>
  <c r="J26" i="63"/>
  <c r="J16" i="76"/>
  <c r="H16" i="77"/>
  <c r="J27" i="77"/>
  <c r="J19" i="84"/>
  <c r="J14" i="83"/>
  <c r="J19" i="83"/>
  <c r="H27" i="81"/>
  <c r="J19" i="82"/>
  <c r="J27" i="82"/>
  <c r="J14" i="82"/>
  <c r="H27" i="82"/>
  <c r="H14" i="81"/>
  <c r="J19" i="81"/>
  <c r="J27" i="81"/>
  <c r="J14" i="81"/>
  <c r="G28" i="81"/>
  <c r="H16" i="79"/>
  <c r="J21" i="79"/>
  <c r="J16" i="79"/>
  <c r="J14" i="78"/>
  <c r="J19" i="78"/>
  <c r="J28" i="78"/>
  <c r="J16" i="77"/>
  <c r="G28" i="84" l="1"/>
  <c r="L36" i="7"/>
  <c r="H30" i="77"/>
  <c r="H31" i="77" s="1"/>
  <c r="H32" i="77" s="1"/>
  <c r="H37" i="7"/>
  <c r="H59" i="8" s="1"/>
  <c r="G59" i="8"/>
  <c r="M62" i="35" s="1"/>
  <c r="N62" i="35" s="1"/>
  <c r="H28" i="83"/>
  <c r="H29" i="83" s="1"/>
  <c r="L34" i="7"/>
  <c r="G58" i="8"/>
  <c r="M61" i="35" s="1"/>
  <c r="H31" i="7"/>
  <c r="G53" i="8"/>
  <c r="M56" i="35" s="1"/>
  <c r="N56" i="35" s="1"/>
  <c r="H51" i="8"/>
  <c r="H30" i="7"/>
  <c r="H52" i="8" s="1"/>
  <c r="D56" i="30" s="1"/>
  <c r="G52" i="8"/>
  <c r="G56" i="8"/>
  <c r="M59" i="35" s="1"/>
  <c r="N59" i="35" s="1"/>
  <c r="H34" i="7"/>
  <c r="H56" i="8" s="1"/>
  <c r="D60" i="30" s="1"/>
  <c r="H32" i="7"/>
  <c r="H54" i="8" s="1"/>
  <c r="D58" i="30" s="1"/>
  <c r="G54" i="8"/>
  <c r="M57" i="35" s="1"/>
  <c r="N57" i="35" s="1"/>
  <c r="H28" i="84"/>
  <c r="H29" i="84" s="1"/>
  <c r="H28" i="82"/>
  <c r="H29" i="82" s="1"/>
  <c r="H28" i="81"/>
  <c r="H29" i="81" s="1"/>
  <c r="J27" i="84"/>
  <c r="H29" i="78"/>
  <c r="H30" i="78" s="1"/>
  <c r="K27" i="77"/>
  <c r="J30" i="77"/>
  <c r="K27" i="63"/>
  <c r="K26" i="63"/>
  <c r="G33" i="7"/>
  <c r="G38" i="7" s="1"/>
  <c r="J31" i="7"/>
  <c r="J14" i="84"/>
  <c r="H26" i="76"/>
  <c r="L33" i="7" s="1"/>
  <c r="J26" i="76"/>
  <c r="J30" i="76" s="1"/>
  <c r="H31" i="79"/>
  <c r="H32" i="79" s="1"/>
  <c r="D63" i="30" l="1"/>
  <c r="H62" i="35"/>
  <c r="I59" i="8"/>
  <c r="N61" i="35"/>
  <c r="H58" i="8"/>
  <c r="D62" i="30" s="1"/>
  <c r="H53" i="8"/>
  <c r="D57" i="30" s="1"/>
  <c r="H59" i="35"/>
  <c r="I56" i="8"/>
  <c r="H55" i="35"/>
  <c r="I52" i="8"/>
  <c r="H33" i="7"/>
  <c r="H38" i="7" s="1"/>
  <c r="G55" i="8"/>
  <c r="M58" i="35" s="1"/>
  <c r="N58" i="35" s="1"/>
  <c r="I54" i="8"/>
  <c r="H57" i="35"/>
  <c r="M55" i="35"/>
  <c r="D55" i="30"/>
  <c r="H54" i="35"/>
  <c r="I51" i="8"/>
  <c r="H30" i="76"/>
  <c r="H31" i="76" s="1"/>
  <c r="H32" i="76" s="1"/>
  <c r="K26" i="76"/>
  <c r="G25" i="63"/>
  <c r="G24" i="63"/>
  <c r="G30" i="63" s="1"/>
  <c r="F24" i="63"/>
  <c r="F20" i="63"/>
  <c r="G20" i="63"/>
  <c r="F19" i="63"/>
  <c r="G19" i="63"/>
  <c r="F13" i="63"/>
  <c r="F12" i="63"/>
  <c r="H12" i="63" s="1"/>
  <c r="F5" i="63"/>
  <c r="H5" i="63" s="1"/>
  <c r="H9" i="63" s="1"/>
  <c r="M63" i="35" l="1"/>
  <c r="H61" i="35"/>
  <c r="G60" i="8"/>
  <c r="I53" i="8"/>
  <c r="N63" i="30"/>
  <c r="J63" i="30"/>
  <c r="M63" i="30"/>
  <c r="I63" i="30"/>
  <c r="O63" i="30"/>
  <c r="K63" i="30"/>
  <c r="L63" i="30"/>
  <c r="I58" i="8"/>
  <c r="N55" i="30"/>
  <c r="H56" i="35"/>
  <c r="O55" i="30"/>
  <c r="L55" i="30"/>
  <c r="J55" i="30"/>
  <c r="P62" i="30"/>
  <c r="O62" i="30"/>
  <c r="H55" i="8"/>
  <c r="N55" i="35"/>
  <c r="N63" i="35" s="1"/>
  <c r="I55" i="30"/>
  <c r="K55" i="30"/>
  <c r="M55" i="30"/>
  <c r="O60" i="30"/>
  <c r="P60" i="30"/>
  <c r="K56" i="30"/>
  <c r="O56" i="30"/>
  <c r="L56" i="30"/>
  <c r="I56" i="30"/>
  <c r="M56" i="30"/>
  <c r="J56" i="30"/>
  <c r="N56" i="30"/>
  <c r="H57" i="30"/>
  <c r="H64" i="30" s="1"/>
  <c r="I57" i="30"/>
  <c r="J58" i="30"/>
  <c r="K58" i="30"/>
  <c r="J29" i="7"/>
  <c r="G21" i="63"/>
  <c r="G31" i="63" s="1"/>
  <c r="J19" i="63"/>
  <c r="H19" i="63"/>
  <c r="J25" i="63"/>
  <c r="K25" i="63" s="1"/>
  <c r="H24" i="63"/>
  <c r="H20" i="63"/>
  <c r="K30" i="7" s="1"/>
  <c r="J20" i="63"/>
  <c r="K20" i="63" s="1"/>
  <c r="J24" i="63"/>
  <c r="J30" i="63" s="1"/>
  <c r="I64" i="30" l="1"/>
  <c r="L64" i="30"/>
  <c r="Q63" i="30"/>
  <c r="J64" i="30"/>
  <c r="H60" i="8"/>
  <c r="D59" i="30"/>
  <c r="D64" i="30" s="1"/>
  <c r="K64" i="30"/>
  <c r="O64" i="30"/>
  <c r="P64" i="30"/>
  <c r="Q62" i="30"/>
  <c r="Q58" i="30"/>
  <c r="Q60" i="30"/>
  <c r="H58" i="35"/>
  <c r="H63" i="35" s="1"/>
  <c r="I55" i="8"/>
  <c r="I60" i="8" s="1"/>
  <c r="Q55" i="30"/>
  <c r="Q57" i="30"/>
  <c r="H21" i="63"/>
  <c r="Q56" i="30"/>
  <c r="L29" i="7"/>
  <c r="K29" i="7"/>
  <c r="K38" i="7" s="1"/>
  <c r="K19" i="63"/>
  <c r="J21" i="63"/>
  <c r="H25" i="63"/>
  <c r="L30" i="7" s="1"/>
  <c r="K24" i="63"/>
  <c r="J12" i="63"/>
  <c r="J16" i="63" s="1"/>
  <c r="H13" i="63"/>
  <c r="J30" i="7" s="1"/>
  <c r="J38" i="7" s="1"/>
  <c r="L38" i="7" l="1"/>
  <c r="N59" i="30"/>
  <c r="N64" i="30" s="1"/>
  <c r="M59" i="30"/>
  <c r="M64" i="30" s="1"/>
  <c r="H16" i="63"/>
  <c r="H31" i="63" s="1"/>
  <c r="H30" i="63"/>
  <c r="K12" i="63"/>
  <c r="Q59" i="30" l="1"/>
  <c r="Q64" i="30" s="1"/>
  <c r="H32" i="63"/>
  <c r="H33" i="8" l="1"/>
  <c r="F33" i="8"/>
  <c r="G34" i="35" s="1"/>
  <c r="H34" i="8"/>
  <c r="F34" i="8"/>
  <c r="G35" i="35" s="1"/>
  <c r="H31" i="8"/>
  <c r="F31" i="8"/>
  <c r="G32" i="35" s="1"/>
  <c r="H32" i="8"/>
  <c r="F32" i="8"/>
  <c r="G33" i="35" s="1"/>
  <c r="F31" i="60"/>
  <c r="F30" i="60"/>
  <c r="D30" i="60"/>
  <c r="G30" i="60" s="1"/>
  <c r="F29" i="60"/>
  <c r="D29" i="60"/>
  <c r="G29" i="60" s="1"/>
  <c r="F28" i="60"/>
  <c r="F24" i="60"/>
  <c r="G24" i="60"/>
  <c r="F23" i="60"/>
  <c r="D23" i="60"/>
  <c r="G23" i="60" s="1"/>
  <c r="F22" i="60"/>
  <c r="D22" i="60"/>
  <c r="G22" i="60" s="1"/>
  <c r="F21" i="60"/>
  <c r="G21" i="60"/>
  <c r="F17" i="60"/>
  <c r="G17" i="60"/>
  <c r="F16" i="60"/>
  <c r="D16" i="60"/>
  <c r="G16" i="60" s="1"/>
  <c r="F15" i="60"/>
  <c r="D15" i="60"/>
  <c r="G15" i="60" s="1"/>
  <c r="F14" i="60"/>
  <c r="G14" i="60"/>
  <c r="F10" i="60"/>
  <c r="G10" i="60"/>
  <c r="J10" i="60" s="1"/>
  <c r="K10" i="60" s="1"/>
  <c r="F9" i="60"/>
  <c r="D9" i="60"/>
  <c r="G9" i="60" s="1"/>
  <c r="F8" i="60"/>
  <c r="D8" i="60"/>
  <c r="G8" i="60" s="1"/>
  <c r="F7" i="60"/>
  <c r="G7" i="60"/>
  <c r="F30" i="57"/>
  <c r="F29" i="57"/>
  <c r="G29" i="57"/>
  <c r="F28" i="57"/>
  <c r="G28" i="57"/>
  <c r="F27" i="57"/>
  <c r="G27" i="57"/>
  <c r="F23" i="57"/>
  <c r="G23" i="57"/>
  <c r="F22" i="57"/>
  <c r="G22" i="57"/>
  <c r="F21" i="57"/>
  <c r="G21" i="57"/>
  <c r="F20" i="57"/>
  <c r="G20" i="57"/>
  <c r="F16" i="57"/>
  <c r="G16" i="57"/>
  <c r="F15" i="57"/>
  <c r="G15" i="57"/>
  <c r="F14" i="57"/>
  <c r="G14" i="57"/>
  <c r="F13" i="57"/>
  <c r="G13" i="57"/>
  <c r="F9" i="57"/>
  <c r="G9" i="57"/>
  <c r="F8" i="57"/>
  <c r="G8" i="57"/>
  <c r="F7" i="57"/>
  <c r="G7" i="57"/>
  <c r="F6" i="57"/>
  <c r="G6" i="57"/>
  <c r="F31" i="56"/>
  <c r="F30" i="56"/>
  <c r="G30" i="56"/>
  <c r="F29" i="56"/>
  <c r="G29" i="56"/>
  <c r="F28" i="56"/>
  <c r="G28" i="56"/>
  <c r="F24" i="56"/>
  <c r="G24" i="56"/>
  <c r="F23" i="56"/>
  <c r="G23" i="56"/>
  <c r="F22" i="56"/>
  <c r="G22" i="56"/>
  <c r="F21" i="56"/>
  <c r="G21" i="56"/>
  <c r="F17" i="56"/>
  <c r="G17" i="56"/>
  <c r="F16" i="56"/>
  <c r="G16" i="56"/>
  <c r="F15" i="56"/>
  <c r="G15" i="56"/>
  <c r="F14" i="56"/>
  <c r="G14" i="56"/>
  <c r="F10" i="56"/>
  <c r="G10" i="56"/>
  <c r="F9" i="56"/>
  <c r="F8" i="56"/>
  <c r="G8" i="56"/>
  <c r="F7" i="56"/>
  <c r="G7" i="56"/>
  <c r="F31" i="55"/>
  <c r="F30" i="55"/>
  <c r="D30" i="55"/>
  <c r="G30" i="55" s="1"/>
  <c r="F29" i="55"/>
  <c r="D29" i="55"/>
  <c r="G29" i="55" s="1"/>
  <c r="F28" i="55"/>
  <c r="G28" i="55"/>
  <c r="F24" i="55"/>
  <c r="G24" i="55"/>
  <c r="F23" i="55"/>
  <c r="D23" i="55"/>
  <c r="G23" i="55" s="1"/>
  <c r="J23" i="55" s="1"/>
  <c r="K23" i="55" s="1"/>
  <c r="F22" i="55"/>
  <c r="D22" i="55"/>
  <c r="G22" i="55" s="1"/>
  <c r="F21" i="55"/>
  <c r="G21" i="55"/>
  <c r="F17" i="55"/>
  <c r="G17" i="55"/>
  <c r="F16" i="55"/>
  <c r="D16" i="55"/>
  <c r="G16" i="55" s="1"/>
  <c r="F15" i="55"/>
  <c r="D15" i="55"/>
  <c r="G15" i="55" s="1"/>
  <c r="F14" i="55"/>
  <c r="G14" i="55"/>
  <c r="F10" i="55"/>
  <c r="G10" i="55"/>
  <c r="F9" i="55"/>
  <c r="D9" i="55"/>
  <c r="G9" i="55" s="1"/>
  <c r="F8" i="55"/>
  <c r="D8" i="55"/>
  <c r="G8" i="55" s="1"/>
  <c r="F7" i="55"/>
  <c r="G7" i="55"/>
  <c r="F31" i="54"/>
  <c r="F30" i="54"/>
  <c r="G30" i="54"/>
  <c r="F29" i="54"/>
  <c r="G29" i="54"/>
  <c r="F28" i="54"/>
  <c r="G28" i="54"/>
  <c r="F24" i="54"/>
  <c r="G24" i="54"/>
  <c r="F23" i="54"/>
  <c r="D23" i="54"/>
  <c r="G23" i="54" s="1"/>
  <c r="J23" i="54" s="1"/>
  <c r="K23" i="54" s="1"/>
  <c r="F22" i="54"/>
  <c r="D22" i="54"/>
  <c r="G22" i="54" s="1"/>
  <c r="F21" i="54"/>
  <c r="G21" i="54"/>
  <c r="F17" i="54"/>
  <c r="G17" i="54"/>
  <c r="F16" i="54"/>
  <c r="D16" i="54"/>
  <c r="G16" i="54" s="1"/>
  <c r="F15" i="54"/>
  <c r="D15" i="54"/>
  <c r="G15" i="54" s="1"/>
  <c r="F14" i="54"/>
  <c r="G14" i="54"/>
  <c r="F10" i="54"/>
  <c r="G10" i="54"/>
  <c r="J10" i="54" s="1"/>
  <c r="K10" i="54" s="1"/>
  <c r="F9" i="54"/>
  <c r="D9" i="54"/>
  <c r="G9" i="54" s="1"/>
  <c r="F8" i="54"/>
  <c r="D8" i="54"/>
  <c r="G8" i="54" s="1"/>
  <c r="J8" i="54" s="1"/>
  <c r="K8" i="54" s="1"/>
  <c r="F7" i="54"/>
  <c r="G7" i="54"/>
  <c r="F31" i="53"/>
  <c r="F30" i="53"/>
  <c r="D30" i="53"/>
  <c r="G30" i="53" s="1"/>
  <c r="F29" i="53"/>
  <c r="D29" i="53"/>
  <c r="G29" i="53" s="1"/>
  <c r="F28" i="53"/>
  <c r="G28" i="53"/>
  <c r="F24" i="53"/>
  <c r="G24" i="53"/>
  <c r="F23" i="53"/>
  <c r="D23" i="53"/>
  <c r="G23" i="53" s="1"/>
  <c r="F22" i="53"/>
  <c r="D22" i="53"/>
  <c r="G22" i="53" s="1"/>
  <c r="F21" i="53"/>
  <c r="G21" i="53"/>
  <c r="F17" i="53"/>
  <c r="G17" i="53"/>
  <c r="F16" i="53"/>
  <c r="D16" i="53"/>
  <c r="G16" i="53" s="1"/>
  <c r="F15" i="53"/>
  <c r="D15" i="53"/>
  <c r="G15" i="53" s="1"/>
  <c r="F14" i="53"/>
  <c r="G14" i="53"/>
  <c r="F10" i="53"/>
  <c r="G10" i="53"/>
  <c r="F9" i="53"/>
  <c r="D9" i="53"/>
  <c r="G9" i="53" s="1"/>
  <c r="F8" i="53"/>
  <c r="D8" i="53"/>
  <c r="G8" i="53" s="1"/>
  <c r="F7" i="53"/>
  <c r="G7" i="53"/>
  <c r="F31" i="52"/>
  <c r="F30" i="52"/>
  <c r="D30" i="52"/>
  <c r="G30" i="52" s="1"/>
  <c r="F29" i="52"/>
  <c r="D29" i="52"/>
  <c r="G29" i="52" s="1"/>
  <c r="F28" i="52"/>
  <c r="G28" i="52"/>
  <c r="F24" i="52"/>
  <c r="G24" i="52"/>
  <c r="F23" i="52"/>
  <c r="D23" i="52"/>
  <c r="G23" i="52" s="1"/>
  <c r="F22" i="52"/>
  <c r="D22" i="52"/>
  <c r="G22" i="52" s="1"/>
  <c r="F21" i="52"/>
  <c r="G21" i="52"/>
  <c r="F17" i="52"/>
  <c r="G17" i="52"/>
  <c r="F16" i="52"/>
  <c r="D16" i="52"/>
  <c r="G16" i="52" s="1"/>
  <c r="F15" i="52"/>
  <c r="D15" i="52"/>
  <c r="G15" i="52" s="1"/>
  <c r="F14" i="52"/>
  <c r="G14" i="52"/>
  <c r="F10" i="52"/>
  <c r="G10" i="52"/>
  <c r="F9" i="52"/>
  <c r="D9" i="52"/>
  <c r="G9" i="52" s="1"/>
  <c r="F8" i="52"/>
  <c r="D8" i="52"/>
  <c r="G8" i="52" s="1"/>
  <c r="F7" i="52"/>
  <c r="G7" i="52"/>
  <c r="D29" i="12"/>
  <c r="D30" i="12"/>
  <c r="D23" i="12"/>
  <c r="D16" i="12"/>
  <c r="H7" i="52" l="1"/>
  <c r="H9" i="52"/>
  <c r="H14" i="52"/>
  <c r="H16" i="52"/>
  <c r="G9" i="56"/>
  <c r="H9" i="56" s="1"/>
  <c r="D42" i="8"/>
  <c r="F44" i="35" s="1"/>
  <c r="D35" i="30"/>
  <c r="P35" i="30" s="1"/>
  <c r="Q35" i="30" s="1"/>
  <c r="H32" i="35"/>
  <c r="D37" i="30"/>
  <c r="H34" i="35"/>
  <c r="D36" i="30"/>
  <c r="H33" i="35"/>
  <c r="D38" i="30"/>
  <c r="H35" i="35"/>
  <c r="H7" i="56"/>
  <c r="H16" i="60"/>
  <c r="H21" i="60"/>
  <c r="H23" i="60"/>
  <c r="H29" i="54"/>
  <c r="H14" i="55"/>
  <c r="H16" i="55"/>
  <c r="H29" i="55"/>
  <c r="H15" i="57"/>
  <c r="I32" i="8"/>
  <c r="I34" i="8"/>
  <c r="I33" i="8"/>
  <c r="I31" i="8"/>
  <c r="H28" i="57"/>
  <c r="H29" i="60"/>
  <c r="H24" i="52"/>
  <c r="H29" i="52"/>
  <c r="H22" i="56"/>
  <c r="H24" i="56"/>
  <c r="H10" i="60"/>
  <c r="J16" i="56"/>
  <c r="K16" i="56" s="1"/>
  <c r="H16" i="56"/>
  <c r="J19" i="7" s="1"/>
  <c r="H13" i="57"/>
  <c r="G31" i="52"/>
  <c r="H31" i="52" s="1"/>
  <c r="G30" i="57"/>
  <c r="H30" i="57" s="1"/>
  <c r="G31" i="53"/>
  <c r="J31" i="53" s="1"/>
  <c r="K31" i="53" s="1"/>
  <c r="G31" i="54"/>
  <c r="H31" i="54" s="1"/>
  <c r="H22" i="52"/>
  <c r="G31" i="56"/>
  <c r="J31" i="56" s="1"/>
  <c r="K31" i="56" s="1"/>
  <c r="G28" i="60"/>
  <c r="G32" i="60" s="1"/>
  <c r="J23" i="60"/>
  <c r="K23" i="60" s="1"/>
  <c r="G31" i="55"/>
  <c r="H31" i="55" s="1"/>
  <c r="H23" i="55"/>
  <c r="H14" i="60"/>
  <c r="G25" i="60"/>
  <c r="J8" i="60"/>
  <c r="K8" i="60" s="1"/>
  <c r="H8" i="60"/>
  <c r="J29" i="56"/>
  <c r="K29" i="56" s="1"/>
  <c r="H29" i="56"/>
  <c r="G18" i="56"/>
  <c r="H14" i="56"/>
  <c r="J17" i="7" s="1"/>
  <c r="H7" i="60"/>
  <c r="G11" i="60"/>
  <c r="J7" i="60"/>
  <c r="H17" i="60"/>
  <c r="J17" i="60"/>
  <c r="K17" i="60" s="1"/>
  <c r="H24" i="60"/>
  <c r="J24" i="60"/>
  <c r="K24" i="60" s="1"/>
  <c r="J15" i="60"/>
  <c r="K15" i="60" s="1"/>
  <c r="H15" i="60"/>
  <c r="H30" i="60"/>
  <c r="J30" i="60"/>
  <c r="K30" i="60" s="1"/>
  <c r="H9" i="60"/>
  <c r="J9" i="60"/>
  <c r="K9" i="60" s="1"/>
  <c r="H22" i="60"/>
  <c r="J22" i="60"/>
  <c r="K22" i="60" s="1"/>
  <c r="J14" i="60"/>
  <c r="J16" i="60"/>
  <c r="K16" i="60" s="1"/>
  <c r="G18" i="60"/>
  <c r="J29" i="60"/>
  <c r="K29" i="60" s="1"/>
  <c r="J21" i="60"/>
  <c r="J14" i="57"/>
  <c r="K14" i="57" s="1"/>
  <c r="H14" i="57"/>
  <c r="J29" i="57"/>
  <c r="K29" i="57" s="1"/>
  <c r="H29" i="57"/>
  <c r="J7" i="57"/>
  <c r="K7" i="57" s="1"/>
  <c r="H7" i="57"/>
  <c r="J9" i="57"/>
  <c r="K9" i="57" s="1"/>
  <c r="H9" i="57"/>
  <c r="G24" i="57"/>
  <c r="J20" i="57"/>
  <c r="H20" i="57"/>
  <c r="J22" i="57"/>
  <c r="K22" i="57" s="1"/>
  <c r="H22" i="57"/>
  <c r="G31" i="57"/>
  <c r="J27" i="57"/>
  <c r="H27" i="57"/>
  <c r="H6" i="57"/>
  <c r="G10" i="57"/>
  <c r="J6" i="57"/>
  <c r="H8" i="57"/>
  <c r="J8" i="57"/>
  <c r="K8" i="57" s="1"/>
  <c r="J16" i="57"/>
  <c r="K16" i="57" s="1"/>
  <c r="H16" i="57"/>
  <c r="H21" i="57"/>
  <c r="J21" i="57"/>
  <c r="K21" i="57" s="1"/>
  <c r="H23" i="57"/>
  <c r="J23" i="57"/>
  <c r="K23" i="57" s="1"/>
  <c r="J13" i="57"/>
  <c r="J15" i="57"/>
  <c r="K15" i="57" s="1"/>
  <c r="G17" i="57"/>
  <c r="J28" i="57"/>
  <c r="K28" i="57" s="1"/>
  <c r="H10" i="56"/>
  <c r="I20" i="7" s="1"/>
  <c r="J10" i="56"/>
  <c r="K10" i="56" s="1"/>
  <c r="H17" i="56"/>
  <c r="J17" i="56"/>
  <c r="K17" i="56" s="1"/>
  <c r="H28" i="56"/>
  <c r="L21" i="7" s="1"/>
  <c r="G32" i="56"/>
  <c r="J28" i="56"/>
  <c r="H8" i="56"/>
  <c r="I18" i="7" s="1"/>
  <c r="J8" i="56"/>
  <c r="K8" i="56" s="1"/>
  <c r="H23" i="56"/>
  <c r="K19" i="7" s="1"/>
  <c r="J23" i="56"/>
  <c r="K23" i="56" s="1"/>
  <c r="H15" i="56"/>
  <c r="J18" i="7" s="1"/>
  <c r="J15" i="56"/>
  <c r="K15" i="56" s="1"/>
  <c r="H21" i="56"/>
  <c r="K17" i="7" s="1"/>
  <c r="G25" i="56"/>
  <c r="J21" i="56"/>
  <c r="H30" i="56"/>
  <c r="L23" i="7" s="1"/>
  <c r="J30" i="56"/>
  <c r="K30" i="56" s="1"/>
  <c r="J7" i="56"/>
  <c r="J9" i="56"/>
  <c r="K9" i="56" s="1"/>
  <c r="G11" i="56"/>
  <c r="J22" i="56"/>
  <c r="K22" i="56" s="1"/>
  <c r="J24" i="56"/>
  <c r="K24" i="56" s="1"/>
  <c r="J14" i="56"/>
  <c r="H7" i="55"/>
  <c r="G11" i="55"/>
  <c r="J7" i="55"/>
  <c r="J17" i="55"/>
  <c r="K17" i="55" s="1"/>
  <c r="H17" i="55"/>
  <c r="H22" i="55"/>
  <c r="J22" i="55"/>
  <c r="K22" i="55" s="1"/>
  <c r="G32" i="55"/>
  <c r="J28" i="55"/>
  <c r="H28" i="55"/>
  <c r="J15" i="55"/>
  <c r="K15" i="55" s="1"/>
  <c r="H15" i="55"/>
  <c r="J30" i="55"/>
  <c r="K30" i="55" s="1"/>
  <c r="H30" i="55"/>
  <c r="H9" i="55"/>
  <c r="J9" i="55"/>
  <c r="K9" i="55" s="1"/>
  <c r="J8" i="55"/>
  <c r="K8" i="55" s="1"/>
  <c r="H8" i="55"/>
  <c r="J10" i="55"/>
  <c r="K10" i="55" s="1"/>
  <c r="H10" i="55"/>
  <c r="G25" i="55"/>
  <c r="J21" i="55"/>
  <c r="H21" i="55"/>
  <c r="H24" i="55"/>
  <c r="J24" i="55"/>
  <c r="K24" i="55" s="1"/>
  <c r="J14" i="55"/>
  <c r="J16" i="55"/>
  <c r="K16" i="55" s="1"/>
  <c r="G18" i="55"/>
  <c r="J29" i="55"/>
  <c r="K29" i="55" s="1"/>
  <c r="H15" i="54"/>
  <c r="J15" i="54"/>
  <c r="K15" i="54" s="1"/>
  <c r="H17" i="54"/>
  <c r="J17" i="54"/>
  <c r="K17" i="54" s="1"/>
  <c r="H28" i="54"/>
  <c r="G32" i="54"/>
  <c r="J28" i="54"/>
  <c r="G25" i="54"/>
  <c r="J7" i="54"/>
  <c r="H7" i="54"/>
  <c r="G11" i="54"/>
  <c r="H14" i="54"/>
  <c r="G18" i="54"/>
  <c r="J14" i="54"/>
  <c r="H16" i="54"/>
  <c r="J16" i="54"/>
  <c r="K16" i="54" s="1"/>
  <c r="H24" i="54"/>
  <c r="J24" i="54"/>
  <c r="K24" i="54" s="1"/>
  <c r="H9" i="54"/>
  <c r="J9" i="54"/>
  <c r="K9" i="54" s="1"/>
  <c r="J22" i="54"/>
  <c r="K22" i="54" s="1"/>
  <c r="H22" i="54"/>
  <c r="H30" i="54"/>
  <c r="J30" i="54"/>
  <c r="K30" i="54" s="1"/>
  <c r="H8" i="54"/>
  <c r="H10" i="54"/>
  <c r="H21" i="54"/>
  <c r="H23" i="54"/>
  <c r="J29" i="54"/>
  <c r="K29" i="54" s="1"/>
  <c r="J21" i="54"/>
  <c r="J8" i="53"/>
  <c r="K8" i="53" s="1"/>
  <c r="H8" i="53"/>
  <c r="H17" i="53"/>
  <c r="J17" i="53"/>
  <c r="K17" i="53" s="1"/>
  <c r="H9" i="53"/>
  <c r="J9" i="53"/>
  <c r="K9" i="53" s="1"/>
  <c r="H15" i="53"/>
  <c r="J15" i="53"/>
  <c r="K15" i="53" s="1"/>
  <c r="H22" i="53"/>
  <c r="J22" i="53"/>
  <c r="K22" i="53" s="1"/>
  <c r="H29" i="53"/>
  <c r="J29" i="53"/>
  <c r="K29" i="53" s="1"/>
  <c r="J10" i="53"/>
  <c r="K10" i="53" s="1"/>
  <c r="H10" i="53"/>
  <c r="H24" i="53"/>
  <c r="J24" i="53"/>
  <c r="K24" i="53" s="1"/>
  <c r="H7" i="53"/>
  <c r="G11" i="53"/>
  <c r="J7" i="53"/>
  <c r="H14" i="53"/>
  <c r="G18" i="53"/>
  <c r="J14" i="53"/>
  <c r="H16" i="53"/>
  <c r="J16" i="53"/>
  <c r="K16" i="53" s="1"/>
  <c r="G25" i="53"/>
  <c r="J21" i="53"/>
  <c r="H21" i="53"/>
  <c r="J23" i="53"/>
  <c r="K23" i="53" s="1"/>
  <c r="H23" i="53"/>
  <c r="H28" i="53"/>
  <c r="G32" i="53"/>
  <c r="J28" i="53"/>
  <c r="H30" i="53"/>
  <c r="J30" i="53"/>
  <c r="K30" i="53" s="1"/>
  <c r="G25" i="52"/>
  <c r="J21" i="52"/>
  <c r="H21" i="52"/>
  <c r="J8" i="52"/>
  <c r="K8" i="52" s="1"/>
  <c r="H8" i="52"/>
  <c r="J30" i="52"/>
  <c r="K30" i="52" s="1"/>
  <c r="H30" i="52"/>
  <c r="J17" i="52"/>
  <c r="K17" i="52" s="1"/>
  <c r="H17" i="52"/>
  <c r="J28" i="52"/>
  <c r="H28" i="52"/>
  <c r="G32" i="52"/>
  <c r="J10" i="52"/>
  <c r="K10" i="52" s="1"/>
  <c r="H10" i="52"/>
  <c r="H15" i="52"/>
  <c r="J15" i="52"/>
  <c r="K15" i="52" s="1"/>
  <c r="J23" i="52"/>
  <c r="K23" i="52" s="1"/>
  <c r="H23" i="52"/>
  <c r="J7" i="52"/>
  <c r="J9" i="52"/>
  <c r="K9" i="52" s="1"/>
  <c r="G11" i="52"/>
  <c r="J22" i="52"/>
  <c r="K22" i="52" s="1"/>
  <c r="J24" i="52"/>
  <c r="K24" i="52" s="1"/>
  <c r="J14" i="52"/>
  <c r="J16" i="52"/>
  <c r="K16" i="52" s="1"/>
  <c r="G18" i="52"/>
  <c r="J29" i="52"/>
  <c r="K29" i="52" s="1"/>
  <c r="D22" i="12"/>
  <c r="D15" i="12"/>
  <c r="D9" i="12"/>
  <c r="D8" i="12"/>
  <c r="J20" i="7" l="1"/>
  <c r="L22" i="7"/>
  <c r="K18" i="7"/>
  <c r="I17" i="7"/>
  <c r="K20" i="7"/>
  <c r="I19" i="7"/>
  <c r="H31" i="53"/>
  <c r="H32" i="53" s="1"/>
  <c r="H11" i="56"/>
  <c r="J28" i="60"/>
  <c r="N36" i="30"/>
  <c r="O36" i="30"/>
  <c r="H38" i="30"/>
  <c r="P38" i="30"/>
  <c r="O38" i="30"/>
  <c r="I38" i="30"/>
  <c r="H37" i="30"/>
  <c r="M37" i="30"/>
  <c r="M41" i="30" s="1"/>
  <c r="I37" i="30"/>
  <c r="N37" i="30"/>
  <c r="L37" i="30"/>
  <c r="L41" i="30" s="1"/>
  <c r="J37" i="30"/>
  <c r="J41" i="30" s="1"/>
  <c r="K37" i="30"/>
  <c r="K41" i="30" s="1"/>
  <c r="H25" i="56"/>
  <c r="J31" i="54"/>
  <c r="K31" i="54" s="1"/>
  <c r="H32" i="52"/>
  <c r="J31" i="52"/>
  <c r="K31" i="52" s="1"/>
  <c r="H17" i="57"/>
  <c r="H25" i="53"/>
  <c r="H18" i="55"/>
  <c r="J31" i="55"/>
  <c r="K31" i="55" s="1"/>
  <c r="H18" i="52"/>
  <c r="H31" i="56"/>
  <c r="L24" i="7" s="1"/>
  <c r="J30" i="57"/>
  <c r="K30" i="57" s="1"/>
  <c r="H31" i="57"/>
  <c r="H28" i="60"/>
  <c r="H18" i="56"/>
  <c r="G31" i="60"/>
  <c r="J31" i="60" s="1"/>
  <c r="K31" i="60" s="1"/>
  <c r="H25" i="60"/>
  <c r="H18" i="60"/>
  <c r="H11" i="55"/>
  <c r="H11" i="52"/>
  <c r="J11" i="60"/>
  <c r="K7" i="60"/>
  <c r="J18" i="60"/>
  <c r="K14" i="60"/>
  <c r="K21" i="60"/>
  <c r="J25" i="60"/>
  <c r="K28" i="60"/>
  <c r="H11" i="60"/>
  <c r="J17" i="57"/>
  <c r="K13" i="57"/>
  <c r="H24" i="57"/>
  <c r="K20" i="57"/>
  <c r="J24" i="57"/>
  <c r="H10" i="57"/>
  <c r="K27" i="57"/>
  <c r="J10" i="57"/>
  <c r="K6" i="57"/>
  <c r="K21" i="56"/>
  <c r="J25" i="56"/>
  <c r="K7" i="56"/>
  <c r="J11" i="56"/>
  <c r="K14" i="56"/>
  <c r="J18" i="56"/>
  <c r="J32" i="56"/>
  <c r="K28" i="56"/>
  <c r="K21" i="55"/>
  <c r="J25" i="55"/>
  <c r="H32" i="55"/>
  <c r="K28" i="55"/>
  <c r="K14" i="55"/>
  <c r="J18" i="55"/>
  <c r="J11" i="55"/>
  <c r="K7" i="55"/>
  <c r="H25" i="55"/>
  <c r="K28" i="54"/>
  <c r="J11" i="54"/>
  <c r="K7" i="54"/>
  <c r="H25" i="54"/>
  <c r="H32" i="54"/>
  <c r="H18" i="54"/>
  <c r="H11" i="54"/>
  <c r="J25" i="54"/>
  <c r="K21" i="54"/>
  <c r="J18" i="54"/>
  <c r="K14" i="54"/>
  <c r="K28" i="53"/>
  <c r="J32" i="53"/>
  <c r="H18" i="53"/>
  <c r="J11" i="53"/>
  <c r="K7" i="53"/>
  <c r="H11" i="53"/>
  <c r="K21" i="53"/>
  <c r="J25" i="53"/>
  <c r="K14" i="53"/>
  <c r="J18" i="53"/>
  <c r="J11" i="52"/>
  <c r="K7" i="52"/>
  <c r="K14" i="52"/>
  <c r="J18" i="52"/>
  <c r="K28" i="52"/>
  <c r="K21" i="52"/>
  <c r="J25" i="52"/>
  <c r="H25" i="52"/>
  <c r="N41" i="30" l="1"/>
  <c r="J32" i="52"/>
  <c r="J32" i="55"/>
  <c r="Q37" i="30"/>
  <c r="Q38" i="30"/>
  <c r="Q36" i="30"/>
  <c r="J25" i="7"/>
  <c r="K25" i="7"/>
  <c r="H32" i="56"/>
  <c r="H33" i="56" s="1"/>
  <c r="H34" i="56" s="1"/>
  <c r="L25" i="7"/>
  <c r="I25" i="7"/>
  <c r="H32" i="57"/>
  <c r="H33" i="57" s="1"/>
  <c r="J31" i="57"/>
  <c r="J32" i="54"/>
  <c r="J32" i="60"/>
  <c r="H33" i="52"/>
  <c r="H34" i="52" s="1"/>
  <c r="H31" i="60"/>
  <c r="H33" i="55"/>
  <c r="H34" i="55" s="1"/>
  <c r="H33" i="53"/>
  <c r="H34" i="53" s="1"/>
  <c r="H33" i="54"/>
  <c r="H34" i="54" s="1"/>
  <c r="F31" i="12"/>
  <c r="F24" i="7"/>
  <c r="F47" i="8" s="1"/>
  <c r="G31" i="12"/>
  <c r="J31" i="12" s="1"/>
  <c r="H32" i="60" l="1"/>
  <c r="H33" i="60" s="1"/>
  <c r="H34" i="60" s="1"/>
  <c r="K31" i="12"/>
  <c r="H31" i="12"/>
  <c r="D8" i="30"/>
  <c r="D15" i="30" s="1"/>
  <c r="F49" i="35"/>
  <c r="F35" i="8"/>
  <c r="G36" i="35" s="1"/>
  <c r="F36" i="8"/>
  <c r="G37" i="35" s="1"/>
  <c r="J13" i="7"/>
  <c r="F17" i="7"/>
  <c r="F40" i="8" s="1"/>
  <c r="G42" i="35" s="1"/>
  <c r="F18" i="7"/>
  <c r="F41" i="8" s="1"/>
  <c r="G43" i="35" s="1"/>
  <c r="F19" i="7"/>
  <c r="F42" i="8" s="1"/>
  <c r="G44" i="35" s="1"/>
  <c r="F20" i="7"/>
  <c r="F43" i="8" s="1"/>
  <c r="G45" i="35" s="1"/>
  <c r="F21" i="7"/>
  <c r="F44" i="8" s="1"/>
  <c r="G46" i="35" s="1"/>
  <c r="F22" i="7"/>
  <c r="F45" i="8" s="1"/>
  <c r="G47" i="35" s="1"/>
  <c r="F23" i="7"/>
  <c r="F46" i="8" s="1"/>
  <c r="G48" i="35" s="1"/>
  <c r="G23" i="7"/>
  <c r="G46" i="8" s="1"/>
  <c r="G22" i="7"/>
  <c r="G45" i="8" s="1"/>
  <c r="G21" i="7"/>
  <c r="G44" i="8" s="1"/>
  <c r="F29" i="12"/>
  <c r="G29" i="12"/>
  <c r="F30" i="12"/>
  <c r="G30" i="12"/>
  <c r="J30" i="12" s="1"/>
  <c r="K30" i="12" s="1"/>
  <c r="G28" i="12"/>
  <c r="J28" i="12" s="1"/>
  <c r="F28" i="12"/>
  <c r="F22" i="12"/>
  <c r="F23" i="12"/>
  <c r="F24" i="12"/>
  <c r="F21" i="12"/>
  <c r="F15" i="12"/>
  <c r="F16" i="12"/>
  <c r="F17" i="12"/>
  <c r="F14" i="12"/>
  <c r="F8" i="12"/>
  <c r="F9" i="12"/>
  <c r="F10" i="12"/>
  <c r="G8" i="30" l="1"/>
  <c r="G15" i="30" s="1"/>
  <c r="H22" i="7"/>
  <c r="H45" i="8" s="1"/>
  <c r="D49" i="30" s="1"/>
  <c r="H23" i="7"/>
  <c r="H46" i="8" s="1"/>
  <c r="D50" i="30" s="1"/>
  <c r="H21" i="7"/>
  <c r="H44" i="8" s="1"/>
  <c r="D48" i="30" s="1"/>
  <c r="G24" i="7"/>
  <c r="G47" i="8" s="1"/>
  <c r="H29" i="12"/>
  <c r="J29" i="12"/>
  <c r="K29" i="12" s="1"/>
  <c r="G32" i="12"/>
  <c r="H28" i="12"/>
  <c r="K28" i="12"/>
  <c r="H30" i="12"/>
  <c r="P49" i="30" l="1"/>
  <c r="N49" i="30"/>
  <c r="O49" i="30"/>
  <c r="P48" i="30"/>
  <c r="N48" i="30"/>
  <c r="O48" i="30"/>
  <c r="P50" i="30"/>
  <c r="N50" i="30"/>
  <c r="O50" i="30"/>
  <c r="H46" i="35"/>
  <c r="M46" i="35" s="1"/>
  <c r="N46" i="35" s="1"/>
  <c r="I44" i="8"/>
  <c r="H47" i="35"/>
  <c r="M47" i="35" s="1"/>
  <c r="N47" i="35" s="1"/>
  <c r="I45" i="8"/>
  <c r="H48" i="35"/>
  <c r="M48" i="35" s="1"/>
  <c r="N48" i="35" s="1"/>
  <c r="I46" i="8"/>
  <c r="H24" i="7"/>
  <c r="H47" i="8" s="1"/>
  <c r="I47" i="8" s="1"/>
  <c r="J32" i="12"/>
  <c r="H75" i="30"/>
  <c r="Q75" i="30" s="1"/>
  <c r="H32" i="12"/>
  <c r="Q50" i="30" l="1"/>
  <c r="Q49" i="30"/>
  <c r="Q48" i="30"/>
  <c r="D66" i="30"/>
  <c r="G17" i="12"/>
  <c r="G16" i="12"/>
  <c r="G15" i="12"/>
  <c r="G14" i="12"/>
  <c r="G24" i="12"/>
  <c r="G23" i="12"/>
  <c r="G22" i="12"/>
  <c r="G21" i="12"/>
  <c r="F7" i="12"/>
  <c r="G49" i="35"/>
  <c r="G66" i="30" l="1"/>
  <c r="G79" i="30" s="1"/>
  <c r="J66" i="30"/>
  <c r="J79" i="30" s="1"/>
  <c r="I66" i="30"/>
  <c r="I79" i="30" s="1"/>
  <c r="D79" i="30"/>
  <c r="H66" i="30"/>
  <c r="H79" i="30" s="1"/>
  <c r="G7" i="12"/>
  <c r="J7" i="12" s="1"/>
  <c r="K7" i="12" s="1"/>
  <c r="G18" i="7"/>
  <c r="G8" i="12"/>
  <c r="H15" i="12"/>
  <c r="J15" i="12"/>
  <c r="K15" i="12" s="1"/>
  <c r="G19" i="7"/>
  <c r="G42" i="8" s="1"/>
  <c r="G9" i="12"/>
  <c r="J16" i="12"/>
  <c r="K16" i="12" s="1"/>
  <c r="H16" i="12"/>
  <c r="J22" i="12"/>
  <c r="K22" i="12" s="1"/>
  <c r="H22" i="12"/>
  <c r="J21" i="12"/>
  <c r="H21" i="12"/>
  <c r="G25" i="12"/>
  <c r="J14" i="12"/>
  <c r="G18" i="12"/>
  <c r="H14" i="12"/>
  <c r="J23" i="12"/>
  <c r="K23" i="12" s="1"/>
  <c r="H23" i="12"/>
  <c r="G10" i="12"/>
  <c r="G20" i="7"/>
  <c r="G43" i="8" s="1"/>
  <c r="H24" i="12"/>
  <c r="J24" i="12"/>
  <c r="K24" i="12" s="1"/>
  <c r="H17" i="12"/>
  <c r="J17" i="12"/>
  <c r="K17" i="12" s="1"/>
  <c r="Q66" i="30" l="1"/>
  <c r="G41" i="8"/>
  <c r="H19" i="7"/>
  <c r="H42" i="8" s="1"/>
  <c r="D46" i="30" s="1"/>
  <c r="H18" i="7"/>
  <c r="H41" i="8" s="1"/>
  <c r="D45" i="30" s="1"/>
  <c r="H20" i="7"/>
  <c r="H43" i="8" s="1"/>
  <c r="D47" i="30" s="1"/>
  <c r="H7" i="12"/>
  <c r="G11" i="12"/>
  <c r="K14" i="12"/>
  <c r="J18" i="12"/>
  <c r="J9" i="12"/>
  <c r="K9" i="12" s="1"/>
  <c r="H9" i="12"/>
  <c r="J8" i="12"/>
  <c r="H8" i="12"/>
  <c r="H25" i="12"/>
  <c r="K21" i="12"/>
  <c r="J25" i="12"/>
  <c r="H10" i="12"/>
  <c r="J10" i="12"/>
  <c r="K10" i="12" s="1"/>
  <c r="H18" i="12"/>
  <c r="H49" i="35"/>
  <c r="D51" i="30"/>
  <c r="J46" i="30" l="1"/>
  <c r="L46" i="30"/>
  <c r="G46" i="30"/>
  <c r="H46" i="30"/>
  <c r="I46" i="30"/>
  <c r="K46" i="30"/>
  <c r="M46" i="30"/>
  <c r="I45" i="30"/>
  <c r="J45" i="30"/>
  <c r="K45" i="30"/>
  <c r="G45" i="30"/>
  <c r="L45" i="30"/>
  <c r="M45" i="30"/>
  <c r="H45" i="30"/>
  <c r="G47" i="30"/>
  <c r="L47" i="30"/>
  <c r="M47" i="30"/>
  <c r="I47" i="30"/>
  <c r="H47" i="30"/>
  <c r="J47" i="30"/>
  <c r="K47" i="30"/>
  <c r="N51" i="30"/>
  <c r="P51" i="30"/>
  <c r="P52" i="30" s="1"/>
  <c r="O51" i="30"/>
  <c r="H44" i="35"/>
  <c r="M44" i="35" s="1"/>
  <c r="N44" i="35" s="1"/>
  <c r="I42" i="8"/>
  <c r="H45" i="35"/>
  <c r="M45" i="35" s="1"/>
  <c r="N45" i="35" s="1"/>
  <c r="I43" i="8"/>
  <c r="I41" i="8"/>
  <c r="H43" i="35"/>
  <c r="M43" i="35" s="1"/>
  <c r="N43" i="35" s="1"/>
  <c r="M49" i="35"/>
  <c r="N49" i="35" s="1"/>
  <c r="H11" i="12"/>
  <c r="H33" i="12" s="1"/>
  <c r="H34" i="12" s="1"/>
  <c r="K8" i="12"/>
  <c r="J11" i="12"/>
  <c r="P79" i="30"/>
  <c r="J6" i="33"/>
  <c r="J7" i="33" s="1"/>
  <c r="D15" i="33"/>
  <c r="H15" i="33" s="1"/>
  <c r="D14" i="33"/>
  <c r="E14" i="33" s="1"/>
  <c r="D13" i="33"/>
  <c r="H13" i="33" s="1"/>
  <c r="H12" i="33"/>
  <c r="J17" i="33"/>
  <c r="G13" i="33"/>
  <c r="G14" i="33"/>
  <c r="G15" i="33"/>
  <c r="G12" i="33"/>
  <c r="H35" i="8"/>
  <c r="H36" i="8"/>
  <c r="T8" i="33"/>
  <c r="S8" i="33"/>
  <c r="K6" i="33"/>
  <c r="L6" i="33" s="1"/>
  <c r="L7" i="33" s="1"/>
  <c r="M7" i="33" s="1"/>
  <c r="S5" i="33"/>
  <c r="T5" i="33" s="1"/>
  <c r="R5" i="33"/>
  <c r="L5" i="33"/>
  <c r="I6" i="33" s="1"/>
  <c r="I7" i="33" s="1"/>
  <c r="S4" i="33"/>
  <c r="T4" i="33" s="1"/>
  <c r="R4" i="33"/>
  <c r="L4" i="33"/>
  <c r="G10" i="32"/>
  <c r="H9" i="32"/>
  <c r="I9" i="32" s="1"/>
  <c r="H8" i="32"/>
  <c r="I8" i="32" s="1"/>
  <c r="E7" i="32"/>
  <c r="H7" i="32" s="1"/>
  <c r="I7" i="32" s="1"/>
  <c r="F6" i="32"/>
  <c r="E6" i="32"/>
  <c r="F5" i="32"/>
  <c r="H5" i="32" s="1"/>
  <c r="I5" i="32" s="1"/>
  <c r="E5" i="32"/>
  <c r="F4" i="32"/>
  <c r="E4" i="32"/>
  <c r="J80" i="35"/>
  <c r="O79" i="35"/>
  <c r="N79" i="35"/>
  <c r="M79" i="35"/>
  <c r="L79" i="35"/>
  <c r="O50" i="35"/>
  <c r="O38" i="35"/>
  <c r="K29" i="35"/>
  <c r="O11" i="35"/>
  <c r="K11" i="35"/>
  <c r="J28" i="8"/>
  <c r="H31" i="22"/>
  <c r="G31" i="22"/>
  <c r="H30" i="22"/>
  <c r="G30" i="22"/>
  <c r="G28" i="22"/>
  <c r="G27" i="22"/>
  <c r="H26" i="22"/>
  <c r="G26" i="22"/>
  <c r="G25" i="22"/>
  <c r="E25" i="22"/>
  <c r="H25" i="22" s="1"/>
  <c r="K25" i="22" s="1"/>
  <c r="L25" i="22" s="1"/>
  <c r="E24" i="22"/>
  <c r="H24" i="22" s="1"/>
  <c r="G23" i="22"/>
  <c r="E23" i="22"/>
  <c r="H23" i="22" s="1"/>
  <c r="G19" i="22"/>
  <c r="E19" i="22"/>
  <c r="H19" i="22" s="1"/>
  <c r="G18" i="22"/>
  <c r="E18" i="22"/>
  <c r="H18" i="22" s="1"/>
  <c r="K18" i="22" s="1"/>
  <c r="L18" i="22" s="1"/>
  <c r="G17" i="22"/>
  <c r="E17" i="22"/>
  <c r="H17" i="22" s="1"/>
  <c r="G16" i="22"/>
  <c r="H12" i="22"/>
  <c r="G12" i="22"/>
  <c r="H11" i="22"/>
  <c r="G11" i="22"/>
  <c r="H10" i="22"/>
  <c r="K10" i="22" s="1"/>
  <c r="L10" i="22" s="1"/>
  <c r="G10" i="22"/>
  <c r="G9" i="22"/>
  <c r="E9" i="22"/>
  <c r="H9" i="22" s="1"/>
  <c r="G8" i="22"/>
  <c r="E8" i="22"/>
  <c r="H8" i="22" s="1"/>
  <c r="K8" i="22" s="1"/>
  <c r="L8" i="22" s="1"/>
  <c r="G7" i="22"/>
  <c r="E7" i="22"/>
  <c r="H7" i="22" s="1"/>
  <c r="H6" i="22"/>
  <c r="K6" i="22" s="1"/>
  <c r="L6" i="22" s="1"/>
  <c r="G6" i="22"/>
  <c r="E6" i="22"/>
  <c r="G5" i="22"/>
  <c r="E5" i="22"/>
  <c r="H5" i="22" s="1"/>
  <c r="H31" i="21"/>
  <c r="K31" i="21" s="1"/>
  <c r="L31" i="21" s="1"/>
  <c r="G31" i="21"/>
  <c r="H30" i="21"/>
  <c r="G30" i="21"/>
  <c r="G28" i="21"/>
  <c r="G27" i="21"/>
  <c r="H26" i="21"/>
  <c r="K26" i="21" s="1"/>
  <c r="L26" i="21" s="1"/>
  <c r="G26" i="21"/>
  <c r="G25" i="21"/>
  <c r="E25" i="21"/>
  <c r="H25" i="21" s="1"/>
  <c r="E24" i="21"/>
  <c r="H24" i="21" s="1"/>
  <c r="K24" i="21" s="1"/>
  <c r="L24" i="21" s="1"/>
  <c r="G23" i="21"/>
  <c r="E23" i="21"/>
  <c r="H23" i="21" s="1"/>
  <c r="G19" i="21"/>
  <c r="E19" i="21"/>
  <c r="G18" i="21"/>
  <c r="E18" i="21"/>
  <c r="H18" i="21" s="1"/>
  <c r="K18" i="21" s="1"/>
  <c r="L18" i="21" s="1"/>
  <c r="G17" i="21"/>
  <c r="E17" i="21"/>
  <c r="G16" i="21"/>
  <c r="H12" i="21"/>
  <c r="K12" i="21" s="1"/>
  <c r="L12" i="21" s="1"/>
  <c r="G12" i="21"/>
  <c r="H11" i="21"/>
  <c r="K11" i="21" s="1"/>
  <c r="L11" i="21" s="1"/>
  <c r="G11" i="21"/>
  <c r="H10" i="21"/>
  <c r="G10" i="21"/>
  <c r="G9" i="21"/>
  <c r="E9" i="21"/>
  <c r="H9" i="21" s="1"/>
  <c r="K9" i="21" s="1"/>
  <c r="L9" i="21" s="1"/>
  <c r="G8" i="21"/>
  <c r="E8" i="21"/>
  <c r="H8" i="21" s="1"/>
  <c r="K8" i="21" s="1"/>
  <c r="L8" i="21" s="1"/>
  <c r="G7" i="21"/>
  <c r="E7" i="21"/>
  <c r="H7" i="21" s="1"/>
  <c r="G6" i="21"/>
  <c r="E6" i="21"/>
  <c r="H6" i="21" s="1"/>
  <c r="G5" i="21"/>
  <c r="H31" i="20"/>
  <c r="G31" i="20"/>
  <c r="H30" i="20"/>
  <c r="G30" i="20"/>
  <c r="G29" i="20"/>
  <c r="G27" i="20"/>
  <c r="H26" i="20"/>
  <c r="K26" i="20" s="1"/>
  <c r="L26" i="20" s="1"/>
  <c r="G26" i="20"/>
  <c r="G25" i="20"/>
  <c r="E25" i="20"/>
  <c r="H25" i="20" s="1"/>
  <c r="G24" i="20"/>
  <c r="E24" i="20"/>
  <c r="H24" i="20" s="1"/>
  <c r="G23" i="20"/>
  <c r="E23" i="20"/>
  <c r="H23" i="20" s="1"/>
  <c r="G19" i="20"/>
  <c r="E19" i="20"/>
  <c r="H19" i="20" s="1"/>
  <c r="G18" i="20"/>
  <c r="E18" i="20"/>
  <c r="H18" i="20" s="1"/>
  <c r="K18" i="20" s="1"/>
  <c r="L18" i="20" s="1"/>
  <c r="G17" i="20"/>
  <c r="E17" i="20"/>
  <c r="H17" i="20" s="1"/>
  <c r="G16" i="20"/>
  <c r="H12" i="20"/>
  <c r="G12" i="20"/>
  <c r="H11" i="20"/>
  <c r="G11" i="20"/>
  <c r="H10" i="20"/>
  <c r="K10" i="20" s="1"/>
  <c r="L10" i="20" s="1"/>
  <c r="G10" i="20"/>
  <c r="G9" i="20"/>
  <c r="E9" i="20"/>
  <c r="H9" i="20" s="1"/>
  <c r="K9" i="20" s="1"/>
  <c r="L9" i="20" s="1"/>
  <c r="G8" i="20"/>
  <c r="E8" i="20"/>
  <c r="H8" i="20" s="1"/>
  <c r="K8" i="20" s="1"/>
  <c r="L8" i="20" s="1"/>
  <c r="G7" i="20"/>
  <c r="E7" i="20"/>
  <c r="H7" i="20" s="1"/>
  <c r="K7" i="20" s="1"/>
  <c r="L7" i="20" s="1"/>
  <c r="G6" i="20"/>
  <c r="E6" i="20"/>
  <c r="H6" i="20" s="1"/>
  <c r="K6" i="20" s="1"/>
  <c r="L6" i="20" s="1"/>
  <c r="G5" i="20"/>
  <c r="H31" i="19"/>
  <c r="K31" i="19" s="1"/>
  <c r="L31" i="19" s="1"/>
  <c r="G31" i="19"/>
  <c r="H30" i="19"/>
  <c r="G30" i="19"/>
  <c r="G28" i="19"/>
  <c r="G27" i="19"/>
  <c r="H26" i="19"/>
  <c r="G26" i="19"/>
  <c r="G25" i="19"/>
  <c r="E25" i="19"/>
  <c r="H25" i="19" s="1"/>
  <c r="G24" i="19"/>
  <c r="E24" i="19"/>
  <c r="H24" i="19" s="1"/>
  <c r="K24" i="19" s="1"/>
  <c r="L24" i="19" s="1"/>
  <c r="G23" i="19"/>
  <c r="E23" i="19"/>
  <c r="H23" i="19" s="1"/>
  <c r="G19" i="19"/>
  <c r="E19" i="19"/>
  <c r="G18" i="19"/>
  <c r="E18" i="19"/>
  <c r="H18" i="19" s="1"/>
  <c r="G17" i="19"/>
  <c r="E17" i="19"/>
  <c r="H17" i="19" s="1"/>
  <c r="G16" i="19"/>
  <c r="H12" i="19"/>
  <c r="G12" i="19"/>
  <c r="H11" i="19"/>
  <c r="K11" i="19" s="1"/>
  <c r="L11" i="19" s="1"/>
  <c r="G11" i="19"/>
  <c r="H10" i="19"/>
  <c r="K10" i="19" s="1"/>
  <c r="L10" i="19" s="1"/>
  <c r="G10" i="19"/>
  <c r="G9" i="19"/>
  <c r="E9" i="19"/>
  <c r="H9" i="19" s="1"/>
  <c r="K9" i="19" s="1"/>
  <c r="L9" i="19" s="1"/>
  <c r="G8" i="19"/>
  <c r="E8" i="19"/>
  <c r="H8" i="19" s="1"/>
  <c r="G7" i="19"/>
  <c r="E7" i="19"/>
  <c r="H7" i="19" s="1"/>
  <c r="K7" i="19" s="1"/>
  <c r="L7" i="19" s="1"/>
  <c r="G6" i="19"/>
  <c r="E6" i="19"/>
  <c r="H6" i="19" s="1"/>
  <c r="G5" i="19"/>
  <c r="H31" i="3"/>
  <c r="K31" i="3" s="1"/>
  <c r="L31" i="3" s="1"/>
  <c r="G31" i="3"/>
  <c r="H30" i="3"/>
  <c r="G30" i="3"/>
  <c r="G28" i="3"/>
  <c r="G27" i="3"/>
  <c r="H26" i="3"/>
  <c r="G26" i="3"/>
  <c r="G25" i="3"/>
  <c r="E25" i="3"/>
  <c r="H25" i="3" s="1"/>
  <c r="G24" i="3"/>
  <c r="E24" i="3"/>
  <c r="H24" i="3" s="1"/>
  <c r="G23" i="3"/>
  <c r="E23" i="3"/>
  <c r="H23" i="3" s="1"/>
  <c r="G19" i="3"/>
  <c r="E19" i="3"/>
  <c r="G18" i="3"/>
  <c r="E18" i="3"/>
  <c r="H18" i="3" s="1"/>
  <c r="G17" i="3"/>
  <c r="E17" i="3"/>
  <c r="H17" i="3" s="1"/>
  <c r="K17" i="3" s="1"/>
  <c r="L17" i="3" s="1"/>
  <c r="G16" i="3"/>
  <c r="H12" i="3"/>
  <c r="G12" i="3"/>
  <c r="H11" i="3"/>
  <c r="K11" i="3" s="1"/>
  <c r="L11" i="3" s="1"/>
  <c r="G11" i="3"/>
  <c r="H10" i="3"/>
  <c r="K10" i="3" s="1"/>
  <c r="L10" i="3" s="1"/>
  <c r="G10" i="3"/>
  <c r="G9" i="3"/>
  <c r="E9" i="3"/>
  <c r="H9" i="3" s="1"/>
  <c r="G8" i="3"/>
  <c r="E8" i="3"/>
  <c r="H8" i="3" s="1"/>
  <c r="G7" i="3"/>
  <c r="E7" i="3"/>
  <c r="H7" i="3" s="1"/>
  <c r="G6" i="3"/>
  <c r="E6" i="3"/>
  <c r="G5" i="3"/>
  <c r="H30" i="4"/>
  <c r="G30" i="4"/>
  <c r="H29" i="4"/>
  <c r="G29" i="4"/>
  <c r="G27" i="4"/>
  <c r="G26" i="4"/>
  <c r="H25" i="4"/>
  <c r="K25" i="4" s="1"/>
  <c r="L25" i="4" s="1"/>
  <c r="G25" i="4"/>
  <c r="G24" i="4"/>
  <c r="E24" i="4"/>
  <c r="H24" i="4" s="1"/>
  <c r="G23" i="4"/>
  <c r="E23" i="4"/>
  <c r="H23" i="4" s="1"/>
  <c r="G22" i="4"/>
  <c r="E22" i="4"/>
  <c r="H22" i="4" s="1"/>
  <c r="G18" i="4"/>
  <c r="E18" i="4"/>
  <c r="G17" i="4"/>
  <c r="E17" i="4"/>
  <c r="H17" i="4" s="1"/>
  <c r="G16" i="4"/>
  <c r="E16" i="4"/>
  <c r="G15" i="4"/>
  <c r="H11" i="4"/>
  <c r="G11" i="4"/>
  <c r="H10" i="4"/>
  <c r="K10" i="4" s="1"/>
  <c r="L10" i="4" s="1"/>
  <c r="G10" i="4"/>
  <c r="H9" i="4"/>
  <c r="G9" i="4"/>
  <c r="G8" i="4"/>
  <c r="E8" i="4"/>
  <c r="H8" i="4" s="1"/>
  <c r="K8" i="4" s="1"/>
  <c r="L8" i="4" s="1"/>
  <c r="G7" i="4"/>
  <c r="E7" i="4"/>
  <c r="H7" i="4" s="1"/>
  <c r="K7" i="4" s="1"/>
  <c r="L7" i="4" s="1"/>
  <c r="G6" i="4"/>
  <c r="E6" i="4"/>
  <c r="H6" i="4" s="1"/>
  <c r="K6" i="4" s="1"/>
  <c r="L6" i="4" s="1"/>
  <c r="G5" i="4"/>
  <c r="E13" i="33" l="1"/>
  <c r="Q46" i="30"/>
  <c r="Q47" i="30"/>
  <c r="Q45" i="30"/>
  <c r="D39" i="30"/>
  <c r="I39" i="30" s="1"/>
  <c r="H36" i="35"/>
  <c r="D40" i="30"/>
  <c r="P40" i="30" s="1"/>
  <c r="H37" i="35"/>
  <c r="I25" i="4"/>
  <c r="I12" i="33"/>
  <c r="O40" i="30"/>
  <c r="I35" i="8"/>
  <c r="I36" i="8"/>
  <c r="E5" i="19"/>
  <c r="H5" i="19" s="1"/>
  <c r="K5" i="19" s="1"/>
  <c r="L5" i="19" s="1"/>
  <c r="I31" i="20"/>
  <c r="H30" i="8"/>
  <c r="H37" i="8" s="1"/>
  <c r="F30" i="8"/>
  <c r="G31" i="35" s="1"/>
  <c r="E16" i="19"/>
  <c r="H16" i="19" s="1"/>
  <c r="I16" i="19" s="1"/>
  <c r="I18" i="19"/>
  <c r="I24" i="19"/>
  <c r="E5" i="20"/>
  <c r="H5" i="20" s="1"/>
  <c r="K5" i="20" s="1"/>
  <c r="I10" i="20"/>
  <c r="E5" i="21"/>
  <c r="H5" i="21" s="1"/>
  <c r="I5" i="21" s="1"/>
  <c r="K7" i="33"/>
  <c r="E5" i="4"/>
  <c r="H5" i="4" s="1"/>
  <c r="K5" i="4" s="1"/>
  <c r="L5" i="4" s="1"/>
  <c r="I7" i="3"/>
  <c r="I9" i="3"/>
  <c r="I13" i="33"/>
  <c r="J13" i="33" s="1"/>
  <c r="D17" i="30"/>
  <c r="D32" i="30" s="1"/>
  <c r="I11" i="4"/>
  <c r="I11" i="19"/>
  <c r="K31" i="20"/>
  <c r="L31" i="20" s="1"/>
  <c r="I31" i="21"/>
  <c r="E28" i="22"/>
  <c r="H4" i="32"/>
  <c r="I4" i="32" s="1"/>
  <c r="H6" i="32"/>
  <c r="I6" i="32" s="1"/>
  <c r="K11" i="4"/>
  <c r="L11" i="4" s="1"/>
  <c r="E16" i="3"/>
  <c r="H16" i="3" s="1"/>
  <c r="K16" i="3" s="1"/>
  <c r="I10" i="19"/>
  <c r="E16" i="22"/>
  <c r="H16" i="22" s="1"/>
  <c r="K16" i="22" s="1"/>
  <c r="L16" i="22" s="1"/>
  <c r="E27" i="4"/>
  <c r="E28" i="4" s="1"/>
  <c r="I28" i="4" s="1"/>
  <c r="I12" i="21"/>
  <c r="I24" i="21"/>
  <c r="I10" i="22"/>
  <c r="E15" i="33"/>
  <c r="K80" i="35"/>
  <c r="H6" i="3"/>
  <c r="E5" i="3"/>
  <c r="H5" i="3" s="1"/>
  <c r="I5" i="3" s="1"/>
  <c r="I26" i="3"/>
  <c r="K26" i="3"/>
  <c r="L26" i="3" s="1"/>
  <c r="I23" i="4"/>
  <c r="K23" i="4"/>
  <c r="L23" i="4" s="1"/>
  <c r="E27" i="19"/>
  <c r="E28" i="19"/>
  <c r="H28" i="19" s="1"/>
  <c r="K28" i="19" s="1"/>
  <c r="L28" i="19" s="1"/>
  <c r="H19" i="19"/>
  <c r="L80" i="35"/>
  <c r="K24" i="3"/>
  <c r="L24" i="3" s="1"/>
  <c r="I24" i="3"/>
  <c r="I30" i="4"/>
  <c r="K30" i="4"/>
  <c r="L30" i="4" s="1"/>
  <c r="K8" i="3"/>
  <c r="L8" i="3" s="1"/>
  <c r="I8" i="3"/>
  <c r="K17" i="19"/>
  <c r="L17" i="19" s="1"/>
  <c r="I17" i="19"/>
  <c r="H17" i="21"/>
  <c r="I17" i="21" s="1"/>
  <c r="E16" i="21"/>
  <c r="H16" i="21" s="1"/>
  <c r="K16" i="21" s="1"/>
  <c r="E27" i="3"/>
  <c r="H27" i="3" s="1"/>
  <c r="I26" i="21"/>
  <c r="E27" i="22"/>
  <c r="H27" i="22" s="1"/>
  <c r="I10" i="3"/>
  <c r="I11" i="3"/>
  <c r="I17" i="3"/>
  <c r="I26" i="19"/>
  <c r="E16" i="20"/>
  <c r="H16" i="20" s="1"/>
  <c r="K16" i="20" s="1"/>
  <c r="L16" i="20" s="1"/>
  <c r="I8" i="21"/>
  <c r="I10" i="4"/>
  <c r="H19" i="3"/>
  <c r="E28" i="3"/>
  <c r="H28" i="3" s="1"/>
  <c r="I28" i="3" s="1"/>
  <c r="K26" i="19"/>
  <c r="L26" i="19" s="1"/>
  <c r="E29" i="20"/>
  <c r="H29" i="20" s="1"/>
  <c r="K29" i="20" s="1"/>
  <c r="L29" i="20" s="1"/>
  <c r="I11" i="21"/>
  <c r="I18" i="21"/>
  <c r="J12" i="33"/>
  <c r="I14" i="33"/>
  <c r="E12" i="33"/>
  <c r="H14" i="33"/>
  <c r="I15" i="33"/>
  <c r="O80" i="35"/>
  <c r="K10" i="21"/>
  <c r="L10" i="21" s="1"/>
  <c r="I10" i="21"/>
  <c r="E29" i="3"/>
  <c r="I29" i="3" s="1"/>
  <c r="K19" i="20"/>
  <c r="L19" i="20" s="1"/>
  <c r="I19" i="20"/>
  <c r="K24" i="20"/>
  <c r="L24" i="20" s="1"/>
  <c r="I24" i="20"/>
  <c r="I18" i="3"/>
  <c r="K18" i="3"/>
  <c r="L18" i="3" s="1"/>
  <c r="K25" i="3"/>
  <c r="L25" i="3" s="1"/>
  <c r="I25" i="3"/>
  <c r="K17" i="20"/>
  <c r="L17" i="20" s="1"/>
  <c r="I17" i="20"/>
  <c r="K9" i="4"/>
  <c r="L9" i="4" s="1"/>
  <c r="I9" i="4"/>
  <c r="K8" i="19"/>
  <c r="L8" i="19" s="1"/>
  <c r="I8" i="19"/>
  <c r="K11" i="20"/>
  <c r="L11" i="20" s="1"/>
  <c r="I11" i="20"/>
  <c r="I7" i="21"/>
  <c r="K7" i="21"/>
  <c r="L7" i="21" s="1"/>
  <c r="K23" i="3"/>
  <c r="I23" i="3"/>
  <c r="K6" i="19"/>
  <c r="L6" i="19" s="1"/>
  <c r="I6" i="19"/>
  <c r="I5" i="22"/>
  <c r="H13" i="22"/>
  <c r="K5" i="22"/>
  <c r="K19" i="22"/>
  <c r="L19" i="22" s="1"/>
  <c r="I19" i="22"/>
  <c r="K17" i="4"/>
  <c r="L17" i="4" s="1"/>
  <c r="I17" i="4"/>
  <c r="K29" i="4"/>
  <c r="L29" i="4" s="1"/>
  <c r="I29" i="4"/>
  <c r="K12" i="3"/>
  <c r="L12" i="3" s="1"/>
  <c r="I12" i="3"/>
  <c r="H13" i="20"/>
  <c r="I26" i="20"/>
  <c r="K30" i="20"/>
  <c r="L30" i="20" s="1"/>
  <c r="I30" i="20"/>
  <c r="E27" i="21"/>
  <c r="H27" i="21" s="1"/>
  <c r="E28" i="21"/>
  <c r="H19" i="21"/>
  <c r="I23" i="21"/>
  <c r="K23" i="21"/>
  <c r="I7" i="22"/>
  <c r="K7" i="22"/>
  <c r="L7" i="22" s="1"/>
  <c r="K11" i="22"/>
  <c r="L11" i="22" s="1"/>
  <c r="I11" i="22"/>
  <c r="K30" i="22"/>
  <c r="L30" i="22" s="1"/>
  <c r="I30" i="22"/>
  <c r="I6" i="4"/>
  <c r="I8" i="4"/>
  <c r="K30" i="3"/>
  <c r="L30" i="3" s="1"/>
  <c r="I30" i="3"/>
  <c r="I5" i="19"/>
  <c r="I7" i="19"/>
  <c r="I9" i="19"/>
  <c r="K12" i="19"/>
  <c r="L12" i="19" s="1"/>
  <c r="I12" i="19"/>
  <c r="I28" i="19"/>
  <c r="I31" i="19"/>
  <c r="L5" i="20"/>
  <c r="I6" i="20"/>
  <c r="I8" i="20"/>
  <c r="I18" i="20"/>
  <c r="K23" i="20"/>
  <c r="I23" i="20"/>
  <c r="K25" i="20"/>
  <c r="L25" i="20" s="1"/>
  <c r="I25" i="20"/>
  <c r="I9" i="21"/>
  <c r="I16" i="21"/>
  <c r="I30" i="21"/>
  <c r="K30" i="21"/>
  <c r="L30" i="21" s="1"/>
  <c r="I9" i="22"/>
  <c r="K9" i="22"/>
  <c r="L9" i="22" s="1"/>
  <c r="K17" i="22"/>
  <c r="L17" i="22" s="1"/>
  <c r="I17" i="22"/>
  <c r="I24" i="22"/>
  <c r="K24" i="22"/>
  <c r="L24" i="22" s="1"/>
  <c r="I31" i="3"/>
  <c r="K23" i="19"/>
  <c r="I23" i="19"/>
  <c r="K25" i="19"/>
  <c r="L25" i="19" s="1"/>
  <c r="I25" i="19"/>
  <c r="I7" i="4"/>
  <c r="H16" i="4"/>
  <c r="E15" i="4"/>
  <c r="H15" i="4" s="1"/>
  <c r="H18" i="4"/>
  <c r="E26" i="4"/>
  <c r="H26" i="4" s="1"/>
  <c r="K22" i="4"/>
  <c r="I22" i="4"/>
  <c r="K24" i="4"/>
  <c r="L24" i="4" s="1"/>
  <c r="I24" i="4"/>
  <c r="K5" i="3"/>
  <c r="K7" i="3"/>
  <c r="L7" i="3" s="1"/>
  <c r="K9" i="3"/>
  <c r="L9" i="3" s="1"/>
  <c r="K28" i="3"/>
  <c r="L28" i="3" s="1"/>
  <c r="K16" i="19"/>
  <c r="K18" i="19"/>
  <c r="L18" i="19" s="1"/>
  <c r="K30" i="19"/>
  <c r="L30" i="19" s="1"/>
  <c r="I30" i="19"/>
  <c r="I7" i="20"/>
  <c r="I9" i="20"/>
  <c r="K12" i="20"/>
  <c r="L12" i="20" s="1"/>
  <c r="I12" i="20"/>
  <c r="H13" i="21"/>
  <c r="I6" i="21"/>
  <c r="K6" i="21"/>
  <c r="L6" i="21" s="1"/>
  <c r="I12" i="22"/>
  <c r="K12" i="22"/>
  <c r="L12" i="22" s="1"/>
  <c r="I26" i="22"/>
  <c r="K26" i="22"/>
  <c r="L26" i="22" s="1"/>
  <c r="I31" i="22"/>
  <c r="K31" i="22"/>
  <c r="L31" i="22" s="1"/>
  <c r="E27" i="20"/>
  <c r="I25" i="21"/>
  <c r="K25" i="21"/>
  <c r="L25" i="21" s="1"/>
  <c r="J15" i="33"/>
  <c r="I6" i="22"/>
  <c r="I8" i="22"/>
  <c r="I18" i="22"/>
  <c r="H20" i="22"/>
  <c r="I23" i="22"/>
  <c r="K23" i="22"/>
  <c r="I25" i="22"/>
  <c r="I10" i="32" l="1"/>
  <c r="K5" i="21"/>
  <c r="H12" i="4"/>
  <c r="I5" i="20"/>
  <c r="I13" i="20" s="1"/>
  <c r="M17" i="30"/>
  <c r="M32" i="30" s="1"/>
  <c r="I17" i="30"/>
  <c r="I32" i="30" s="1"/>
  <c r="E17" i="30"/>
  <c r="J17" i="30"/>
  <c r="J32" i="30" s="1"/>
  <c r="P17" i="30"/>
  <c r="P32" i="30" s="1"/>
  <c r="L17" i="30"/>
  <c r="L32" i="30" s="1"/>
  <c r="H17" i="30"/>
  <c r="H32" i="30" s="1"/>
  <c r="N17" i="30"/>
  <c r="N32" i="30" s="1"/>
  <c r="O17" i="30"/>
  <c r="O32" i="30" s="1"/>
  <c r="K17" i="30"/>
  <c r="K32" i="30" s="1"/>
  <c r="G17" i="30"/>
  <c r="G32" i="30" s="1"/>
  <c r="F17" i="30"/>
  <c r="F32" i="30" s="1"/>
  <c r="F80" i="30" s="1"/>
  <c r="Q39" i="30"/>
  <c r="G40" i="30"/>
  <c r="G41" i="30" s="1"/>
  <c r="H40" i="30"/>
  <c r="H13" i="19"/>
  <c r="H31" i="35"/>
  <c r="H38" i="35" s="1"/>
  <c r="H27" i="4"/>
  <c r="H31" i="4" s="1"/>
  <c r="I30" i="8"/>
  <c r="K17" i="21"/>
  <c r="L17" i="21" s="1"/>
  <c r="D34" i="30"/>
  <c r="D41" i="30" s="1"/>
  <c r="H20" i="19"/>
  <c r="H13" i="3"/>
  <c r="H20" i="3"/>
  <c r="H32" i="3"/>
  <c r="H20" i="21"/>
  <c r="I16" i="3"/>
  <c r="I20" i="3" s="1"/>
  <c r="H10" i="32"/>
  <c r="K12" i="4"/>
  <c r="I16" i="20"/>
  <c r="I5" i="4"/>
  <c r="I12" i="4" s="1"/>
  <c r="H28" i="22"/>
  <c r="E29" i="22"/>
  <c r="I29" i="22" s="1"/>
  <c r="I16" i="22"/>
  <c r="I20" i="22" s="1"/>
  <c r="H20" i="20"/>
  <c r="O52" i="30"/>
  <c r="I13" i="21"/>
  <c r="E29" i="19"/>
  <c r="I29" i="19" s="1"/>
  <c r="H27" i="19"/>
  <c r="I29" i="20"/>
  <c r="I16" i="33"/>
  <c r="I27" i="22"/>
  <c r="K27" i="22"/>
  <c r="L27" i="22" s="1"/>
  <c r="K19" i="19"/>
  <c r="L19" i="19" s="1"/>
  <c r="I19" i="19"/>
  <c r="I20" i="19" s="1"/>
  <c r="J14" i="33"/>
  <c r="J16" i="33" s="1"/>
  <c r="K19" i="3"/>
  <c r="L19" i="3" s="1"/>
  <c r="I19" i="3"/>
  <c r="K6" i="3"/>
  <c r="L6" i="3" s="1"/>
  <c r="I6" i="3"/>
  <c r="I13" i="3" s="1"/>
  <c r="H16" i="33"/>
  <c r="Q8" i="30"/>
  <c r="L5" i="21"/>
  <c r="K13" i="21"/>
  <c r="E29" i="21"/>
  <c r="I29" i="21" s="1"/>
  <c r="H28" i="21"/>
  <c r="H32" i="21" s="1"/>
  <c r="H33" i="21" s="1"/>
  <c r="E28" i="20"/>
  <c r="I28" i="20" s="1"/>
  <c r="H27" i="20"/>
  <c r="K27" i="21"/>
  <c r="L27" i="21" s="1"/>
  <c r="I27" i="21"/>
  <c r="L23" i="22"/>
  <c r="K20" i="22"/>
  <c r="L5" i="3"/>
  <c r="H19" i="4"/>
  <c r="K15" i="4"/>
  <c r="I15" i="4"/>
  <c r="I13" i="19"/>
  <c r="I19" i="21"/>
  <c r="I20" i="21" s="1"/>
  <c r="K19" i="21"/>
  <c r="L19" i="21" s="1"/>
  <c r="I13" i="22"/>
  <c r="L23" i="3"/>
  <c r="K27" i="3"/>
  <c r="L27" i="3" s="1"/>
  <c r="I27" i="3"/>
  <c r="I32" i="3" s="1"/>
  <c r="L22" i="4"/>
  <c r="I16" i="4"/>
  <c r="K16" i="4"/>
  <c r="L16" i="4" s="1"/>
  <c r="L23" i="21"/>
  <c r="L16" i="21"/>
  <c r="K26" i="4"/>
  <c r="L26" i="4" s="1"/>
  <c r="I26" i="4"/>
  <c r="I20" i="20"/>
  <c r="K13" i="22"/>
  <c r="L5" i="22"/>
  <c r="K20" i="20"/>
  <c r="I27" i="4"/>
  <c r="K27" i="4"/>
  <c r="L27" i="4" s="1"/>
  <c r="G17" i="7"/>
  <c r="K13" i="19"/>
  <c r="L16" i="3"/>
  <c r="L16" i="19"/>
  <c r="K18" i="4"/>
  <c r="L18" i="4" s="1"/>
  <c r="I18" i="4"/>
  <c r="L23" i="19"/>
  <c r="L23" i="20"/>
  <c r="K13" i="20"/>
  <c r="K13" i="3" l="1"/>
  <c r="H33" i="3"/>
  <c r="H34" i="30"/>
  <c r="H41" i="30" s="1"/>
  <c r="I34" i="30"/>
  <c r="I41" i="30" s="1"/>
  <c r="P34" i="30"/>
  <c r="P41" i="30" s="1"/>
  <c r="P80" i="30" s="1"/>
  <c r="P81" i="30" s="1"/>
  <c r="O34" i="30"/>
  <c r="O41" i="30" s="1"/>
  <c r="O80" i="30" s="1"/>
  <c r="Q40" i="30"/>
  <c r="G40" i="8"/>
  <c r="G48" i="8" s="1"/>
  <c r="G76" i="8" s="1"/>
  <c r="G25" i="7"/>
  <c r="G39" i="7" s="1"/>
  <c r="E32" i="30"/>
  <c r="Q17" i="30"/>
  <c r="I37" i="8"/>
  <c r="H32" i="4"/>
  <c r="I31" i="4"/>
  <c r="K32" i="3"/>
  <c r="K20" i="3"/>
  <c r="I28" i="22"/>
  <c r="I32" i="22" s="1"/>
  <c r="I33" i="22" s="1"/>
  <c r="H32" i="22"/>
  <c r="H33" i="22" s="1"/>
  <c r="K28" i="22"/>
  <c r="K20" i="19"/>
  <c r="Q51" i="30"/>
  <c r="K27" i="19"/>
  <c r="I27" i="19"/>
  <c r="I32" i="19" s="1"/>
  <c r="I33" i="19" s="1"/>
  <c r="H32" i="19"/>
  <c r="H33" i="19" s="1"/>
  <c r="K19" i="4"/>
  <c r="L15" i="4"/>
  <c r="I19" i="4"/>
  <c r="J19" i="4" s="1"/>
  <c r="I28" i="21"/>
  <c r="I32" i="21" s="1"/>
  <c r="I33" i="21" s="1"/>
  <c r="K28" i="21"/>
  <c r="L28" i="21" s="1"/>
  <c r="K31" i="4"/>
  <c r="K20" i="21"/>
  <c r="K27" i="20"/>
  <c r="I27" i="20"/>
  <c r="I32" i="20" s="1"/>
  <c r="I33" i="20" s="1"/>
  <c r="H32" i="20"/>
  <c r="H33" i="20" s="1"/>
  <c r="I33" i="3"/>
  <c r="J12" i="4"/>
  <c r="H17" i="7"/>
  <c r="H39" i="7" s="1"/>
  <c r="H40" i="7" s="1"/>
  <c r="H40" i="8" l="1"/>
  <c r="Q32" i="30"/>
  <c r="E80" i="30"/>
  <c r="E81" i="30" s="1"/>
  <c r="Q34" i="30"/>
  <c r="K33" i="3"/>
  <c r="I32" i="4"/>
  <c r="L28" i="22"/>
  <c r="K32" i="22"/>
  <c r="K33" i="22" s="1"/>
  <c r="F81" i="30"/>
  <c r="Q15" i="30"/>
  <c r="L27" i="19"/>
  <c r="K32" i="19"/>
  <c r="K33" i="19" s="1"/>
  <c r="K32" i="4"/>
  <c r="L27" i="20"/>
  <c r="K32" i="20"/>
  <c r="K33" i="20" s="1"/>
  <c r="K32" i="21"/>
  <c r="K33" i="21" s="1"/>
  <c r="D44" i="30" l="1"/>
  <c r="D52" i="30" s="1"/>
  <c r="D80" i="30" s="1"/>
  <c r="H48" i="8"/>
  <c r="H76" i="8" s="1"/>
  <c r="G96" i="8" s="1"/>
  <c r="H42" i="35"/>
  <c r="H50" i="35" s="1"/>
  <c r="H80" i="35" s="1"/>
  <c r="I40" i="8"/>
  <c r="I48" i="8" s="1"/>
  <c r="J44" i="30" l="1"/>
  <c r="J52" i="30" s="1"/>
  <c r="J80" i="30" s="1"/>
  <c r="G44" i="30"/>
  <c r="K44" i="30"/>
  <c r="M44" i="30"/>
  <c r="M52" i="30" s="1"/>
  <c r="M80" i="30" s="1"/>
  <c r="M81" i="30" s="1"/>
  <c r="H44" i="30"/>
  <c r="I44" i="30"/>
  <c r="I52" i="30" s="1"/>
  <c r="I80" i="30" s="1"/>
  <c r="L44" i="30"/>
  <c r="L52" i="30" s="1"/>
  <c r="L80" i="30" s="1"/>
  <c r="L81" i="30" s="1"/>
  <c r="I77" i="8"/>
  <c r="H94" i="8" s="1"/>
  <c r="M42" i="35"/>
  <c r="M50" i="35" s="1"/>
  <c r="M80" i="35" s="1"/>
  <c r="N52" i="30"/>
  <c r="N80" i="30" s="1"/>
  <c r="M34" i="22"/>
  <c r="M35" i="22" s="1"/>
  <c r="H38" i="95" l="1"/>
  <c r="I40" i="95" s="1"/>
  <c r="E97" i="8"/>
  <c r="Q44" i="30"/>
  <c r="N42" i="35"/>
  <c r="N50" i="35" s="1"/>
  <c r="I81" i="30"/>
  <c r="J81" i="30"/>
  <c r="N81" i="30"/>
  <c r="O81" i="30"/>
  <c r="G52" i="30" l="1"/>
  <c r="D81" i="30"/>
  <c r="K52" i="30"/>
  <c r="K80" i="30" s="1"/>
  <c r="H52" i="30"/>
  <c r="Q41" i="30"/>
  <c r="Q79" i="30"/>
  <c r="H81" i="35" l="1"/>
  <c r="H80" i="30"/>
  <c r="H81" i="30" s="1"/>
  <c r="G80" i="30"/>
  <c r="G81" i="30" s="1"/>
  <c r="N80" i="35"/>
  <c r="K81" i="30"/>
  <c r="Q52" i="30"/>
  <c r="Q80" i="30" s="1"/>
  <c r="Q81" i="30" s="1"/>
  <c r="I13" i="7" l="1"/>
</calcChain>
</file>

<file path=xl/sharedStrings.xml><?xml version="1.0" encoding="utf-8"?>
<sst xmlns="http://schemas.openxmlformats.org/spreadsheetml/2006/main" count="4021" uniqueCount="571">
  <si>
    <t>کود نمبر AFG-390742</t>
  </si>
  <si>
    <t>شماره</t>
  </si>
  <si>
    <t>فعالیتها</t>
  </si>
  <si>
    <t>واحد</t>
  </si>
  <si>
    <t>مقدار</t>
  </si>
  <si>
    <t>نورم کار</t>
  </si>
  <si>
    <t>قیمت فی واحد به افغانی</t>
  </si>
  <si>
    <t xml:space="preserve">روزکاری پلان شده </t>
  </si>
  <si>
    <t>ارزش مجموعی به افغانی</t>
  </si>
  <si>
    <t>معیاد فعالیت به روز</t>
  </si>
  <si>
    <t xml:space="preserve">تعداد کارگر </t>
  </si>
  <si>
    <t>حجم کار در فی  روز</t>
  </si>
  <si>
    <t>ملاحظات</t>
  </si>
  <si>
    <t>تراسبندی (ابرومانند) مانند در ساحه  50 هکتار</t>
  </si>
  <si>
    <t>متر</t>
  </si>
  <si>
    <t>از 15 حوت الی اخیر جوزا</t>
  </si>
  <si>
    <t>حفر چقرک (1666 حلقه در فی هکتار)  در ساحه  50 هکتار</t>
  </si>
  <si>
    <t>حلقه</t>
  </si>
  <si>
    <t>تراسبندی (زیکزاک مانند) در ساحه 25 هکتار (طول تراس 10 متر)</t>
  </si>
  <si>
    <t>حفر چقرک در ساحه 25 هکتار (650 اصله جقرک فی هکتار)</t>
  </si>
  <si>
    <t>متر مربع</t>
  </si>
  <si>
    <t xml:space="preserve">اعمار چکدم </t>
  </si>
  <si>
    <t>متر مکعب</t>
  </si>
  <si>
    <t>آماده ساختن و پلات بندی 2 جریب  زمین قوریه جهت تولید نهال</t>
  </si>
  <si>
    <t xml:space="preserve">متر مربع </t>
  </si>
  <si>
    <t>پرکاری 200000 خریطه پلاستیکی و بذر ان</t>
  </si>
  <si>
    <t>خریطه</t>
  </si>
  <si>
    <t xml:space="preserve">مجموع </t>
  </si>
  <si>
    <t>اصله</t>
  </si>
  <si>
    <t>از اول سرطان الی اخیر سنبله</t>
  </si>
  <si>
    <t>فعالیت ها</t>
  </si>
  <si>
    <t>حجم کار</t>
  </si>
  <si>
    <t>روز کاری</t>
  </si>
  <si>
    <t>میعاد به روز</t>
  </si>
  <si>
    <t>تعداد کارگر در فی روز</t>
  </si>
  <si>
    <t>حجم کار فی  روز</t>
  </si>
  <si>
    <t>غرس 199000 اصله نهال های مختلف النوع جدید در ساحه 150 هکتار</t>
  </si>
  <si>
    <t xml:space="preserve">اصله </t>
  </si>
  <si>
    <t>از اول میزان الی اخیر عقرب</t>
  </si>
  <si>
    <t>کارگر برای انتقال نهال از قوریه به  ساحه جهت غرس</t>
  </si>
  <si>
    <t>نفر</t>
  </si>
  <si>
    <t>هکتار</t>
  </si>
  <si>
    <t>مجموع کل ربع چهارم</t>
  </si>
  <si>
    <t>ترتیب کننده:</t>
  </si>
  <si>
    <t>چک کننده:</t>
  </si>
  <si>
    <t xml:space="preserve">سید امین الله فخری </t>
  </si>
  <si>
    <t>غلام دستگیر سروری</t>
  </si>
  <si>
    <t>محمد عارف حسینی</t>
  </si>
  <si>
    <t>محمد امان امانیار</t>
  </si>
  <si>
    <t xml:space="preserve">محمد رفیع قاضی زاده </t>
  </si>
  <si>
    <t>آمر تنظیم جنگلات و ابریزه ها</t>
  </si>
  <si>
    <t>آمر تنظیم علفچرها</t>
  </si>
  <si>
    <t>رئیس علفچرها</t>
  </si>
  <si>
    <t xml:space="preserve">رئیس جنگلات </t>
  </si>
  <si>
    <t>رئیس عمومی منابع طبیعی</t>
  </si>
  <si>
    <t>پروژه کمربند سبز شهر کابل
پلان مالی ساحه  بادام باغ (165 هکتار)</t>
  </si>
  <si>
    <t>ریاست عمومی منابع طبیعی
واحد تطبیق پروژه کمربند سبز شهر کابل</t>
  </si>
  <si>
    <t>الف: بخش فعالیت های تخنیکی قوریه</t>
  </si>
  <si>
    <t xml:space="preserve">شماره </t>
  </si>
  <si>
    <t>روزکاری</t>
  </si>
  <si>
    <t>ارزش مجموعی به افغانی ربع اول</t>
  </si>
  <si>
    <t>ربع سوم</t>
  </si>
  <si>
    <t>ربع جهارم</t>
  </si>
  <si>
    <t xml:space="preserve">مجموع عمومی ساحه </t>
  </si>
  <si>
    <t>No</t>
  </si>
  <si>
    <t>Item</t>
  </si>
  <si>
    <t>Unit</t>
  </si>
  <si>
    <t>Total cost/Afg</t>
  </si>
  <si>
    <t>Total cost/USD</t>
  </si>
  <si>
    <t>Remarks</t>
  </si>
  <si>
    <t>Sub Total</t>
  </si>
  <si>
    <t>month</t>
  </si>
  <si>
    <t>m2</t>
  </si>
  <si>
    <t>sac</t>
  </si>
  <si>
    <t xml:space="preserve"> Quantity</t>
  </si>
  <si>
    <t>Cost/Unit/Afg</t>
  </si>
  <si>
    <t>Fuel/Libricants</t>
  </si>
  <si>
    <t>Mecillanous</t>
  </si>
  <si>
    <t>فعالیت</t>
  </si>
  <si>
    <t>تعداد کارگر درفی روز</t>
  </si>
  <si>
    <t>مجموع ربع چهارم</t>
  </si>
  <si>
    <t>منظوری مقام وزارت:</t>
  </si>
  <si>
    <t xml:space="preserve">
مسئول ساحوی بینی حصار</t>
  </si>
  <si>
    <t>مجموع ربع سوم</t>
  </si>
  <si>
    <t>تهیه آب آبیاری توسط تانکر برای تمام نهال ها</t>
  </si>
  <si>
    <t>لیتر</t>
  </si>
  <si>
    <t>حجم کار فی روز</t>
  </si>
  <si>
    <t>سید احمد خالد صاحبزاده
سرپرست پروژه کمربند شهر کابل</t>
  </si>
  <si>
    <t>ابیاری 199000 اصله نهال های  جدیدالغرس  برای 1 مرتبه</t>
  </si>
  <si>
    <t>تائبد کننده گان:</t>
  </si>
  <si>
    <t>تراسبندی (زیکزاک مانند) در ساحه 20 هکتار (طول تراس 10 متر)</t>
  </si>
  <si>
    <t>حفر چقرک در ساحه 20 هکتار (650 اصله جقرک فی هکتار)</t>
  </si>
  <si>
    <t>تراسبندی (زیکزاک مانند) در ساحه 10 هکتار (طول تراس 10 متر) و آماده نمودن آن برای بذر تخم علوفه</t>
  </si>
  <si>
    <t>بذر 100 کیلو گرام تخم انواع مختلف علوفه دایمی در 21600 متر تراس تنظیم شده</t>
  </si>
  <si>
    <t>پلان استخدام کارگر در ربع اول و دوم  (60 هکتار)   -  بادام باغ   سال 1396</t>
  </si>
  <si>
    <t>پلان استخدام کارگر در ربع سوم  (60 هکتار)   -   بادام باغ سال 1396</t>
  </si>
  <si>
    <t>تراسبندی (ابرومانند) مانند در ساحه  40 هکتار</t>
  </si>
  <si>
    <t>حفر چقرک (1666 حلقه در فی هکتار)  در ساحه  40 هکتار</t>
  </si>
  <si>
    <t>پلان استخدام کارگر در ربع چهارم (45 هکتار) -   بادام باغ سال 1396</t>
  </si>
  <si>
    <t>تراسبندی (زیکزاک مانند) در ساحه 15 هکتار (طول تراس 10 متر) و آماده نمودن آن برای بذر تخم علوفه</t>
  </si>
  <si>
    <t>غرس 159200 اصله نهال های مختلف النوع جدید در ساحه 120 هکتار</t>
  </si>
  <si>
    <t>ابیاری 159200 اصله نهال های  جدیدالغرس  برای 1 مرتبه</t>
  </si>
  <si>
    <t>مجموع عمومی ساحه بادام باغ</t>
  </si>
  <si>
    <t>مجموع اول و دوم</t>
  </si>
  <si>
    <t>پروژه کمربند سبز شهر کابل
پلان مالی ساحه دشت و تپه های چمتله (200 هکتار)</t>
  </si>
  <si>
    <t>پلان استخدام کارگر در ربع اول و دوم  (75 هکتار)   - دشت و تپه های چمتله  سال 1396</t>
  </si>
  <si>
    <t>تراسبندی (زیکزاک مانند) در ساحه 20  هکتار (طول تراس 10 متر)</t>
  </si>
  <si>
    <t>تراسبندی (زیکزاک مانند) در ساحه 25  هکتار (طول تراس 10 متر)</t>
  </si>
  <si>
    <t>تراسبندی (ابرومانند) مانند در ساحه  50  هکتار</t>
  </si>
  <si>
    <t xml:space="preserve">اعمار سرک جنگلاتی به طول 3 کیلو متر </t>
  </si>
  <si>
    <t>پلان استخدام کارگر در ربع سوم  (75 هکتار)   -  دشت و تپه های چمتله  سال 1396</t>
  </si>
  <si>
    <t xml:space="preserve">پلان استخدام کارگر در ربع چهارم   (50 هکتار)-  دشت و تپه های چمتله سال 1396  </t>
  </si>
  <si>
    <t>تراسبندی (زیکزاک مانند) در ساحه 20 هکتار (طول تراس 10 متر) و آماده نمودن آن برای بذر تخم علوفه</t>
  </si>
  <si>
    <t xml:space="preserve">بذر تخم ارغوان وبادام کوهی در چقرک های ابرومانند </t>
  </si>
  <si>
    <t>بذر 200 کیلو گرام تخم انواع مختلف علوفه دایمی در 43200 متر تراس تنظیم شده</t>
  </si>
  <si>
    <t>بذر 300 کیلو گرام تخم انواع مختلف علوفه دایمی در32400 متر تراس تنظیم شده</t>
  </si>
  <si>
    <t>بذر تخم ارغوان وبادام کوهی در 74970 حلقه چقرک ابرو مانند.</t>
  </si>
  <si>
    <t>پروژه کمربند سبز شهر کابل
پلان مالی ساحه بینی حصار (200 هکتار)</t>
  </si>
  <si>
    <t>پلان استخدام کارگر در ربع اول و دوم  (75 هکتار)  تپه های بینی حصار  سال 1396</t>
  </si>
  <si>
    <t>پلان استخدام کارگر در ربع سوم  (75 هکتار)  تپه های بینی حصار سال 1396</t>
  </si>
  <si>
    <t xml:space="preserve">پلان استخدام کارگر در ربع چهارم   (50 هکتار) تپه های بینی حصار سال 1396  </t>
  </si>
  <si>
    <t>پروژه کمربند سبز شهر کابل
پلان مالی ساحه کوه قروغ (200 هکتار)</t>
  </si>
  <si>
    <t>پلان استخدام کارگر در ربع اول و دوم  (75 هکتار) کوه قروغ  سال 1396</t>
  </si>
  <si>
    <t>پلان استخدام کارگر در ربع سوم  (75 هکتار)  کوه قروغ سال 1396</t>
  </si>
  <si>
    <t xml:space="preserve">پلان استخدام کارگر در ربع چهارم   (50 هکتار) کوه قروغ سال 1396  </t>
  </si>
  <si>
    <t>پروژه کمربند سبز شهر کابل
پلان مالی ساحه تپه های شیوکی (151 هکتار)</t>
  </si>
  <si>
    <t>پلان استخدام کارگر در ربع اول و دوم  (60 هکتار) تپه های شیوکی سال 1396</t>
  </si>
  <si>
    <t>تراسبندی (زیکزاک مانند) در ساحه 11 هکتار (طول تراس 10 متر) و آماده نمودن آن برای بذر تخم علوفه</t>
  </si>
  <si>
    <t>بذر 110 کیلو گرام تخم انواع مختلف علوفه دایمی در 23760 متر تراس تنظیم شده</t>
  </si>
  <si>
    <t xml:space="preserve">پلان استخدام کارگر در ربع چهارم   (31 هکتار) تپه های شیوکی سال 1396  </t>
  </si>
  <si>
    <t>پلان استخدام کارگر در ربع سوم  (60 هکتار)  تپه های شیوکی سال 1396</t>
  </si>
  <si>
    <t>مجموع عمومی ساحه دشت چمتله</t>
  </si>
  <si>
    <t>پروژه کمربند سبز شهر کابل
پلان مالی ساحه تپه های شمالی قصبه (130 هکتار)</t>
  </si>
  <si>
    <t>پلان استخدام کارگر در ربع اول و دوم  (50 هکتار) تپه های شمالی قصبه سال 1396</t>
  </si>
  <si>
    <t>حفر چقرک (1666 حلقه در فی هکتار)  در ساحه  30 هکتار</t>
  </si>
  <si>
    <t>پلان استخدام کارگر در ربع سوم  (50 هکتار)  تپه های شمالی قصبه سال 1396</t>
  </si>
  <si>
    <t>تراسبندی (ابرومانند) مانند در ساحه  30 هکتار</t>
  </si>
  <si>
    <t>تراسبندی (ابرومانند) مانند در ساحه  30  هکتار</t>
  </si>
  <si>
    <t xml:space="preserve">پلان استخدام کارگر در ربع چهارم   (30 هکتار) تپه های شمالی قصبه سال 1396  </t>
  </si>
  <si>
    <t>غرس 125880 اصله نهال های مختلف النوع جدید در ساحه 100 هکتار</t>
  </si>
  <si>
    <t>ابیاری 125880 اصله نهال های  جدیدالغرس  برای 1 مرتبه</t>
  </si>
  <si>
    <t xml:space="preserve">بذر تخم ارغوان وبادام کوهی در 49980 حلقه چقرک های ابرومانند </t>
  </si>
  <si>
    <t>تراسبندی (ابرومانند) مانند در ساحه  20 هکتار.</t>
  </si>
  <si>
    <t>حفرچقرک ( 1666 حلقه در فی هکتار ) درساحه 20 هکتار.</t>
  </si>
  <si>
    <t>حفر چقرک (1666 حلقه در فی هکتار)  در ساحه  20 هکتار</t>
  </si>
  <si>
    <t>تراسبندی (ابرومانند) مانند در ساحه  30 هکتار.</t>
  </si>
  <si>
    <t>حفرچقرک (1666 حلقه درفی هکتار) درساحه 30 هکتار</t>
  </si>
  <si>
    <t>حفر چقرک (1666 حلقه در فی هکتار)  در ساحه 30 هکتار</t>
  </si>
  <si>
    <t>ربع اول</t>
  </si>
  <si>
    <t>ربع دوم</t>
  </si>
  <si>
    <t>تصدیق کننده:</t>
  </si>
  <si>
    <t>محمد امین نثار
متخصص سرسبزی شهری</t>
  </si>
  <si>
    <t xml:space="preserve">
مسئول ساحوی بادام باغ</t>
  </si>
  <si>
    <t xml:space="preserve">     پرکاری و بذر خریطه های پلاستیکی </t>
  </si>
  <si>
    <t>Monthly</t>
  </si>
  <si>
    <t>Maintenance Plan for 4 years</t>
  </si>
  <si>
    <t>People</t>
  </si>
  <si>
    <t>Rangers/Gaurds</t>
  </si>
  <si>
    <t>Drivers</t>
  </si>
  <si>
    <t>Liter</t>
  </si>
  <si>
    <t>Publication and Stationary</t>
  </si>
  <si>
    <t>Year</t>
  </si>
  <si>
    <t>Kabul Green Belt Job Creation in 11 Years</t>
  </si>
  <si>
    <t>Total Staff/Labour employment Opportunities provided</t>
  </si>
  <si>
    <t>Quantity/ha</t>
  </si>
  <si>
    <t>Man Day/Monthly</t>
  </si>
  <si>
    <t>11 Years (estimated for 10,000 ha)</t>
  </si>
  <si>
    <t>Directly</t>
  </si>
  <si>
    <t>Indirectly</t>
  </si>
  <si>
    <t>Total Skilled Labor recruited</t>
  </si>
  <si>
    <t>Staff</t>
  </si>
  <si>
    <t>Total unskilled labor recruited</t>
  </si>
  <si>
    <t>Man Day</t>
  </si>
  <si>
    <t xml:space="preserve">Total Technical and Maintenance Expenses with Labour needed </t>
  </si>
  <si>
    <t xml:space="preserve">Total Technical and Maintenance Expenses with Labour needed  </t>
  </si>
  <si>
    <t>Year 2016 (1007 Ha)</t>
  </si>
  <si>
    <t>Urban Greenery Technicians</t>
  </si>
  <si>
    <t>Estimated ↓</t>
  </si>
  <si>
    <t>Name of activity</t>
  </si>
  <si>
    <t>Terrace</t>
  </si>
  <si>
    <t>Total Work Plan</t>
  </si>
  <si>
    <t>Remark.</t>
  </si>
  <si>
    <t>work of done</t>
  </si>
  <si>
    <t>Tree pantation</t>
  </si>
  <si>
    <t>Check dam</t>
  </si>
  <si>
    <t>pite</t>
  </si>
  <si>
    <t>Sapling</t>
  </si>
  <si>
    <t>M3</t>
  </si>
  <si>
    <t>Sercal</t>
  </si>
  <si>
    <t>Expenditure / Afg</t>
  </si>
  <si>
    <t>Unit cost</t>
  </si>
  <si>
    <t>Norm of work.</t>
  </si>
  <si>
    <t>Work Balance</t>
  </si>
  <si>
    <t>Total Budget /Afg</t>
  </si>
  <si>
    <t>Reaming Budget.</t>
  </si>
  <si>
    <t>Labour Manegement</t>
  </si>
  <si>
    <t>Total Initial Investment and Labour used for Year 1 in aproximately 806 Ha For enahcnic Capcity of Farms</t>
  </si>
  <si>
    <t xml:space="preserve">Total Technical and Maintenance Expenses with Labour needed for establishment of each 806 Ha </t>
  </si>
  <si>
    <t>غلام دستگیر سروری/ آمر تنظیم علفچر ها</t>
  </si>
  <si>
    <t>احمد شاه امرخیل/ آمراحئیا وتوسعه جنگلات</t>
  </si>
  <si>
    <t xml:space="preserve">محمد عارف حسینی </t>
  </si>
  <si>
    <t>ایجاد تراس ده متره  و سه متره (40 سانتی عمق 70 عرض)</t>
  </si>
  <si>
    <t xml:space="preserve">سرک جنگلاتی </t>
  </si>
  <si>
    <t>چیکدم</t>
  </si>
  <si>
    <t xml:space="preserve">حفر چقرک </t>
  </si>
  <si>
    <t>غرس نهال های مختلف النوع در ساحه 50 هکتار</t>
  </si>
  <si>
    <t>بذر علوفه در ساحه 5 هکتار</t>
  </si>
  <si>
    <t>پلان ربع چهارم</t>
  </si>
  <si>
    <t>مجموع فرعی ربع چهارم</t>
  </si>
  <si>
    <t xml:space="preserve">ربع اول </t>
  </si>
  <si>
    <t xml:space="preserve">میعاد  به روز </t>
  </si>
  <si>
    <t>تعداد کار گر در فی روز</t>
  </si>
  <si>
    <t xml:space="preserve">حجم کار در فی روز </t>
  </si>
  <si>
    <t>مجموع فرعی ربع دوم</t>
  </si>
  <si>
    <t>مجموع فرعی ربع سوم</t>
  </si>
  <si>
    <r>
      <t xml:space="preserve">کود نمبر </t>
    </r>
    <r>
      <rPr>
        <b/>
        <sz val="14"/>
        <color rgb="FFFF0000"/>
        <rFont val="Calibri"/>
        <family val="2"/>
        <scheme val="minor"/>
      </rPr>
      <t>AFG-390742</t>
    </r>
  </si>
  <si>
    <t>بذر مستقیم</t>
  </si>
  <si>
    <t>عبدالمنان عزیزی: 
سرپرست پروژه کمربند شهر کابل</t>
  </si>
  <si>
    <t>ترتیب کننده گان :</t>
  </si>
  <si>
    <t>کیلو</t>
  </si>
  <si>
    <t>مجموع فرعی ربع اول</t>
  </si>
  <si>
    <t>از اول حوت</t>
  </si>
  <si>
    <t>از اول حمل الی ختم جوزا</t>
  </si>
  <si>
    <t>از اول سرطان الی ختم سنبله</t>
  </si>
  <si>
    <t>از 15 عقرب الی 15 قوس</t>
  </si>
  <si>
    <t>کارگران ربع اول تمدید و 18 نفر تازه استخدام گردد</t>
  </si>
  <si>
    <t>کارگران ربع دوم تمدید و 11 نفر تازه استخدام گردد</t>
  </si>
  <si>
    <t>مترمکعب</t>
  </si>
  <si>
    <t xml:space="preserve">متر </t>
  </si>
  <si>
    <t>چقرک</t>
  </si>
  <si>
    <t>آبیاری نهال های غرس شده خزانی دو مرتبه بعد از غرس</t>
  </si>
  <si>
    <t>57نفر ربع سوم تمدید قرارداد وبقیه فسخ قرار داد گردد</t>
  </si>
  <si>
    <t xml:space="preserve"> الف: بخش فعالیت های تخنیکی تنظیم آبریزه</t>
  </si>
  <si>
    <t xml:space="preserve">مجموع مصارف کل به افغانی </t>
  </si>
  <si>
    <t>مجموع مصارف کل به دالر امریکائی</t>
  </si>
  <si>
    <t>در ربع اول 50 نفر کارگر استخدام گردد</t>
  </si>
  <si>
    <t>محمد امین نثار: 
متخصص جنگلات و سرسبزی</t>
  </si>
  <si>
    <t>مقدار ساحه به هکتار</t>
  </si>
  <si>
    <t>سید امین الله فخری: آمر تنظیم جنگلات و ابریزه ها</t>
  </si>
  <si>
    <t>پروژه کمربند سبز کابل
پلان ایجاد 33 هکتار کمربند سبز در ساحه کافر کوه بابت سال 1397</t>
  </si>
  <si>
    <t>پروژه کمربند سبز کابل
پلان ایجاد 200 هکتار کمربند سبز در ساحه چمتله بابت سال 1397</t>
  </si>
  <si>
    <t>پروژه کمربند سبز کابل
پلان ایجاد 230 هکتار کمربند سبز در ساحه قلعه مسلیم بابت سال 1397</t>
  </si>
  <si>
    <t>پروژه کمربند سبز کابل
پلان ایجاد 300 هکتار کمربند سبز در ساحه کوه قرغ بابت سال 1397</t>
  </si>
  <si>
    <t>پروژه کمربند سبز کابل
پلان ایجاد 210 هکتار کمربند سبز در ساحه تنگی غارو بابت سال 1397</t>
  </si>
  <si>
    <t>پروژه کمربند سبز کابل
پلان ایجاد 200 هکتار کمربند سبز در ساحه تپه کمپنی بابت سال 1397</t>
  </si>
  <si>
    <t>یکه کاری نهال ها</t>
  </si>
  <si>
    <t>کشیدن و بسته بندی نهال ها</t>
  </si>
  <si>
    <t>حجم کار در فی روز</t>
  </si>
  <si>
    <t>مجموع عمومی ربع اول</t>
  </si>
  <si>
    <t>مترمربع</t>
  </si>
  <si>
    <t>از اول حمل الی اخیر جوزا</t>
  </si>
  <si>
    <t>مجموع عمومی ربع دوم</t>
  </si>
  <si>
    <t>نهالی</t>
  </si>
  <si>
    <t>از اویل سرطان الی ختم سنبله</t>
  </si>
  <si>
    <t xml:space="preserve">معیاد تطبیق </t>
  </si>
  <si>
    <t>مجموع عمومی ساحه قرغه</t>
  </si>
  <si>
    <t>آبیاری خریطه های پلاستکی</t>
  </si>
  <si>
    <t>ترمیم تراس ها و آبخوره نهال ها</t>
  </si>
  <si>
    <t>آبیاری نهال های غرس شده و بذر مستقیم سال های قبل</t>
  </si>
  <si>
    <t>آبیاری نهال های غرس شده و بذر مستقیم سال های قبل (ماه دو مرتبه)</t>
  </si>
  <si>
    <t>ملچ اطراف نهال ها</t>
  </si>
  <si>
    <t xml:space="preserve">ناغه گیری نهال های خشک شده توسط نهال تولید شده در خریطه های پلاستکی </t>
  </si>
  <si>
    <t>پروژه کمربند سبز کابل
پلان مالی حفظ و مراقبت ساحه پروژه کمربند سبز کابل بابت سال 1397 (ساحه بند قرغه)</t>
  </si>
  <si>
    <t>ربع چهارم</t>
  </si>
  <si>
    <t>پروژه کمربند سبز کابل
پلان مالی حفظ و مراقبت ساحه پروژه کمربند سبز کابل بابت سال 1397 (ساحه قصبه)</t>
  </si>
  <si>
    <t>پرکاری و بذر خریطه های پلاستکی</t>
  </si>
  <si>
    <t>مجموع عمومی به دالر</t>
  </si>
  <si>
    <t xml:space="preserve">آبیاری خریطه های پلاستکی </t>
  </si>
  <si>
    <t>پروژه کمربند سبز کابل
پلان مالی حفظ و مراقبت ساحه پروژه کمربند سبز کابل بابت سال 1397 (ساحه شیردروازه)</t>
  </si>
  <si>
    <t>نهال</t>
  </si>
  <si>
    <t xml:space="preserve"> کشت تخم درختان در ساحه 2 هکتار به صورت آزاد</t>
  </si>
  <si>
    <t>خیشاوه و نرم کاری 100 جریب زمین برای 3 مرتبه</t>
  </si>
  <si>
    <t>پروژه کمربند سبز کابل
پلان مالی حفظ و مراقبت ساحه پروژه کمربند سبز کابل بابت سال 1397 (کوه تلویزیون)</t>
  </si>
  <si>
    <r>
      <rPr>
        <b/>
        <sz val="18"/>
        <rFont val="B Zar"/>
        <charset val="178"/>
      </rPr>
      <t>پروژه کمربند سبز کابل</t>
    </r>
    <r>
      <rPr>
        <b/>
        <sz val="16"/>
        <rFont val="B Zar"/>
        <charset val="178"/>
      </rPr>
      <t xml:space="preserve">
پلان مالی حفظ و مراقبت ساحه پروژه کمربند سبز کابل بابت سال 1397 (ساحه بنی حصار)</t>
    </r>
  </si>
  <si>
    <t>پروژه کمربند سبز کابل
پلان مالی حفظ و مراقبت ساحه پروژه کمربند سبز کابل بابت سال 1397 (ساحه بادام باغ)</t>
  </si>
  <si>
    <t>پروژه کمربند سبز کابل
پلان مالی حفظ و مراقبت ساحه پروژه کمربند سبز کابل بابت سال 1397 (ساحه تپه مرنجان)</t>
  </si>
  <si>
    <t>پروژه کمربند سبز کابل
پلان مالی حفظ و مراقبت ساحه پروژه کمربند سبز کابل بابت سال 1397 (تنگی غارو)</t>
  </si>
  <si>
    <r>
      <rPr>
        <b/>
        <sz val="18"/>
        <rFont val="B Zar"/>
        <charset val="178"/>
      </rPr>
      <t>پروژه کمربند سبز کابل</t>
    </r>
    <r>
      <rPr>
        <b/>
        <sz val="16"/>
        <rFont val="B Zar"/>
        <charset val="178"/>
      </rPr>
      <t xml:space="preserve">
پلان مالی حفظ و مراقبت ساحه پروژه کمربند سبز کابل بابت سال 1397 (ساحه کلوله پشته)</t>
    </r>
  </si>
  <si>
    <t>ایجاد تراس جهار متره و دو متره (40 سانتی عمق 70 عرض)</t>
  </si>
  <si>
    <t>بذر مستقیم در ساحه 90 هکتار</t>
  </si>
  <si>
    <t>غرس نهال های مختلف النوع در ساحه 90 هکتار</t>
  </si>
  <si>
    <t>پروژه کمربند سبز کابل
پلان ایجاد 210 هکتار کمربند سبز در ساحه منشی میرغلام بابت سال 1397</t>
  </si>
  <si>
    <t>پروژه کمربند سبز کابل
پلان ایجاد 170 هکتار کمربند سبز در ساحه بادام باغ بابت سال 1397</t>
  </si>
  <si>
    <t>غرس نهال های مختلف النوع در ساحه 75 هکتار</t>
  </si>
  <si>
    <t>ریاست عمومی منابع طبیعی</t>
  </si>
  <si>
    <t>ترتیب کننده گان : محمد امین نثار متخصص جنگلات و سرسبزی</t>
  </si>
  <si>
    <t>ریس جنگلات</t>
  </si>
  <si>
    <t>پلان فعالیت تخنیکی قوریه های مرکزی کابل پروژه کمربند سبز کابل (سال 1397)</t>
  </si>
  <si>
    <t xml:space="preserve">مترمربع </t>
  </si>
  <si>
    <t xml:space="preserve">کشیدن وبسته بندی نهال </t>
  </si>
  <si>
    <t xml:space="preserve">مجموع عمومی </t>
  </si>
  <si>
    <t xml:space="preserve">مجموع فرعی </t>
  </si>
  <si>
    <t>پرکاری و بذر خریطه های پلاستیکی</t>
  </si>
  <si>
    <t xml:space="preserve">خریطه </t>
  </si>
  <si>
    <t>وزارت زراعت ، آبیاری و مالداری</t>
  </si>
  <si>
    <t xml:space="preserve">واحد تطبیق پروژه کمر بند سبز کابل </t>
  </si>
  <si>
    <r>
      <t>پلان کاری وبودجه مورد نیاز فارم  (</t>
    </r>
    <r>
      <rPr>
        <b/>
        <sz val="14"/>
        <color rgb="FFFF0000"/>
        <rFont val="Calibri"/>
        <family val="2"/>
        <scheme val="minor"/>
      </rPr>
      <t xml:space="preserve">اول گذرگاه </t>
    </r>
    <r>
      <rPr>
        <b/>
        <sz val="14"/>
        <rFont val="Calibri"/>
        <family val="2"/>
        <scheme val="minor"/>
      </rPr>
      <t>) مربوط کمربند سبز کابل بابت سال 1397</t>
    </r>
  </si>
  <si>
    <t>تائبد کننده:</t>
  </si>
  <si>
    <t xml:space="preserve">ربع دوم </t>
  </si>
  <si>
    <t xml:space="preserve">ربع سوم </t>
  </si>
  <si>
    <t xml:space="preserve">ربع چهارم </t>
  </si>
  <si>
    <t>آماده ساختن وپلات بندی زمین قوریه</t>
  </si>
  <si>
    <t xml:space="preserve">یکه کاری نهال </t>
  </si>
  <si>
    <t xml:space="preserve">تهیه کمپوست </t>
  </si>
  <si>
    <t>خیشاوه و نرم کاری زمین قوریه</t>
  </si>
  <si>
    <t>کشت تخم درختان در ساحه آزاد</t>
  </si>
  <si>
    <t>آماده ساختن و پلات بندین 8 هکتار زمین قوریه جهت تولید نهال</t>
  </si>
  <si>
    <t xml:space="preserve">           تهیه کمپوست  </t>
  </si>
  <si>
    <r>
      <t>پلان کاری وبودجه مورد نیاز فارم  (</t>
    </r>
    <r>
      <rPr>
        <b/>
        <sz val="14"/>
        <color rgb="FFFF0000"/>
        <rFont val="Calibri"/>
        <family val="2"/>
        <scheme val="minor"/>
      </rPr>
      <t xml:space="preserve"> دوم گذرگاه </t>
    </r>
    <r>
      <rPr>
        <b/>
        <sz val="14"/>
        <rFont val="Calibri"/>
        <family val="2"/>
        <scheme val="minor"/>
      </rPr>
      <t>) مربوط کمربند سبز کابل بابت سال 1397</t>
    </r>
  </si>
  <si>
    <r>
      <t>پلان کاری وبودجه مورد نیاز فارم  (ده مراد خان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) مربوط کمربند سبز کابل بابت سال 1397</t>
    </r>
  </si>
  <si>
    <r>
      <t>پلان کاری وبودجه مورد نیاز فارم  (</t>
    </r>
    <r>
      <rPr>
        <b/>
        <sz val="14"/>
        <color rgb="FFFF0000"/>
        <rFont val="Calibri"/>
        <family val="2"/>
        <scheme val="minor"/>
      </rPr>
      <t>قوریه قرغه</t>
    </r>
    <r>
      <rPr>
        <b/>
        <sz val="14"/>
        <rFont val="Calibri"/>
        <family val="2"/>
        <scheme val="minor"/>
      </rPr>
      <t>) مربوط کمربند سبز کابل بابت سال 1397</t>
    </r>
  </si>
  <si>
    <t>ع</t>
  </si>
  <si>
    <r>
      <t>پلان کاری وبودجه مورد نیاز فارم  (</t>
    </r>
    <r>
      <rPr>
        <b/>
        <sz val="14"/>
        <color rgb="FFFF0000"/>
        <rFont val="Calibri"/>
        <family val="2"/>
        <scheme val="minor"/>
      </rPr>
      <t>قوریه پغمان</t>
    </r>
    <r>
      <rPr>
        <b/>
        <sz val="14"/>
        <rFont val="Calibri"/>
        <family val="2"/>
        <scheme val="minor"/>
      </rPr>
      <t>) مربوط کمربند سبز کابل بابت سال 1397</t>
    </r>
  </si>
  <si>
    <r>
      <t>پلان کاری وبودجه مورد نیاز فارم  (</t>
    </r>
    <r>
      <rPr>
        <b/>
        <sz val="14"/>
        <color rgb="FFFF0000"/>
        <rFont val="Calibri"/>
        <family val="2"/>
        <scheme val="minor"/>
      </rPr>
      <t xml:space="preserve">قوریه جنگل مرکز </t>
    </r>
    <r>
      <rPr>
        <b/>
        <sz val="14"/>
        <rFont val="Calibri"/>
        <family val="2"/>
        <scheme val="minor"/>
      </rPr>
      <t>) مربوط کمربند سبز کابل بابت سال 1397</t>
    </r>
  </si>
  <si>
    <r>
      <t>پلان کاری وبودجه مورد نیاز فارم  (</t>
    </r>
    <r>
      <rPr>
        <b/>
        <sz val="14"/>
        <color rgb="FFFF0000"/>
        <rFont val="Calibri"/>
        <family val="2"/>
        <scheme val="minor"/>
      </rPr>
      <t>قوریه گل پروری بی بی مهرو</t>
    </r>
    <r>
      <rPr>
        <b/>
        <sz val="14"/>
        <rFont val="Calibri"/>
        <family val="2"/>
        <scheme val="minor"/>
      </rPr>
      <t>) مربوط کمربند سبز کابل بابت سال 1397</t>
    </r>
  </si>
  <si>
    <t>غرس نهال های مختلف النوع در ساحه تحت پلان سال های قبل</t>
  </si>
  <si>
    <t>آبیاری نهال های غرس شده بهاری</t>
  </si>
  <si>
    <t>آبیاری نهال های غرس شده خزانی برای یک مرتبه</t>
  </si>
  <si>
    <t>ملاحظه کننده گان:</t>
  </si>
  <si>
    <t>تائید کننده:</t>
  </si>
  <si>
    <t>تائید کننده</t>
  </si>
  <si>
    <t>ترتیب کننده: محمد امین نثار متخصص جنگلات و سرسبزی</t>
  </si>
  <si>
    <t>آبیاری توسط تانکر وزارت زراعت و آبیاری</t>
  </si>
  <si>
    <t>آبیاری توسط تانکر وزارت زراعت و کارگر روز مزد</t>
  </si>
  <si>
    <t>50000اصله نهال توسط باغبانان کشیده میشود</t>
  </si>
  <si>
    <t>50هزار توسط باغبانان کشیده میشود</t>
  </si>
  <si>
    <t>پروژه کمربند سبز کابل
پلان ایجاد 85 هکتار کمربند سبز در ساحه کوه های اطراف شهرک منشی میرغلام بابت سال 1397</t>
  </si>
  <si>
    <t>Land preparation and plotting in the total area 40 jeribs</t>
  </si>
  <si>
    <t>Cultivation of tree's seeds in the total area of 10 jeribs</t>
  </si>
  <si>
    <t>weed control and softing of 41 jeribs lands for 3 times</t>
  </si>
  <si>
    <t>sparse of seedlings</t>
  </si>
  <si>
    <t>Uprooting off seedling and packing of 127500 saplings</t>
  </si>
  <si>
    <t>S No</t>
  </si>
  <si>
    <t>Activitiese</t>
  </si>
  <si>
    <t>Work Norm</t>
  </si>
  <si>
    <t>Unit Price (Afs)</t>
  </si>
  <si>
    <t>Manday</t>
  </si>
  <si>
    <t>Total Price</t>
  </si>
  <si>
    <t xml:space="preserve">Ist Qaurter </t>
  </si>
  <si>
    <t xml:space="preserve">2nd Qaurter </t>
  </si>
  <si>
    <t xml:space="preserve">3rd Qaurter </t>
  </si>
  <si>
    <t xml:space="preserve">4th Qaurter </t>
  </si>
  <si>
    <t>Quantity</t>
  </si>
  <si>
    <t>seedling</t>
  </si>
  <si>
    <t>m3</t>
  </si>
  <si>
    <t>Nursery Technical Operation</t>
  </si>
  <si>
    <t>Total Price in Afs</t>
  </si>
  <si>
    <t>Total Price in USD</t>
  </si>
  <si>
    <t>A.Nursery Technical Operation</t>
  </si>
  <si>
    <t>S.No</t>
  </si>
  <si>
    <t xml:space="preserve">Qauntity </t>
  </si>
  <si>
    <t>Unit Price</t>
  </si>
  <si>
    <t>Total Price In Afs</t>
  </si>
  <si>
    <t xml:space="preserve">1st Qaurter </t>
  </si>
  <si>
    <t xml:space="preserve">Activities  </t>
  </si>
  <si>
    <t>Total Area</t>
  </si>
  <si>
    <t>Ha</t>
  </si>
  <si>
    <t>m</t>
  </si>
  <si>
    <t>Pits</t>
  </si>
  <si>
    <t xml:space="preserve">Saplings </t>
  </si>
  <si>
    <t>kg</t>
  </si>
  <si>
    <t>Construction of Check dams in the planned areas</t>
  </si>
  <si>
    <t>Digging  of Pits in the planned areas</t>
  </si>
  <si>
    <t xml:space="preserve">Planting of different sapling </t>
  </si>
  <si>
    <t>Code No AFG-390742</t>
  </si>
  <si>
    <t xml:space="preserve"> General Directorate of Natural Resources
Kabul Greenbelt Project </t>
  </si>
  <si>
    <t>Construction  of Forest Road</t>
  </si>
  <si>
    <t>Irrigation of  planted cuttings by workers for 2 times</t>
  </si>
  <si>
    <t>B. New Watershed Management (Tangi Gharo,Badam Bagh, Surrounding Mountains of Munshi Mir Ghulam Town)</t>
  </si>
  <si>
    <t>C. Watershed Management Maintenace, Plantation and Irrigation Plan for 1395, 96 and 97 under covered areas</t>
  </si>
  <si>
    <t>Irrigation of  plastic sacs</t>
  </si>
  <si>
    <t>Irrigation of last year planted trees and direct seedings</t>
  </si>
  <si>
    <t>Repairing of traces and pits</t>
  </si>
  <si>
    <t>Mulching of planted trees for weed control and protecting the stem form the direct sun shine</t>
  </si>
  <si>
    <t xml:space="preserve">Out reach </t>
  </si>
  <si>
    <t xml:space="preserve">Purchasing of Spraying machine (Having Generator along with wheel and all accessories) </t>
  </si>
  <si>
    <t xml:space="preserve">Purchasing of pesticides /medicines for treatment of plants </t>
  </si>
  <si>
    <t xml:space="preserve">Chemical Firtilizer (Urea abd DAP)  </t>
  </si>
  <si>
    <t>Work equipment - Light - Wooden heater - Secissor</t>
  </si>
  <si>
    <t>Office furniture</t>
  </si>
  <si>
    <t>Service Charge of DA AFGJAN BRESHNA SHERKAT</t>
  </si>
  <si>
    <t xml:space="preserve">Procure and installation of Electricity tower's and remained equipment from the last year </t>
  </si>
  <si>
    <t>Payment of 15%  water tankering from the last year</t>
  </si>
  <si>
    <t>120 Kva power generator with all accessories</t>
  </si>
  <si>
    <t>Taps and pips for the operation and maintanance of the irrigation networks</t>
  </si>
  <si>
    <t>Miscellanous</t>
  </si>
  <si>
    <t xml:space="preserve">Puchasing of 2 kg plastic sacs for seeding , packing tools (Thead - Bags  ..etc ) for transfering of  sapllings from nursery to the coverd area </t>
  </si>
  <si>
    <t xml:space="preserve">Filling and cultivation of the plastic sacs </t>
  </si>
  <si>
    <t>Filling and cultivation of the plastic sacs</t>
  </si>
  <si>
    <t xml:space="preserve">Replacing of death plants by the planted plastic sacs  </t>
  </si>
  <si>
    <t>unite</t>
  </si>
  <si>
    <t xml:space="preserve">Item Descritpion </t>
  </si>
  <si>
    <t>Unite</t>
  </si>
  <si>
    <t>NO</t>
  </si>
  <si>
    <t>A - Infrastrature / Construction</t>
  </si>
  <si>
    <t>Estimated amount</t>
  </si>
  <si>
    <t>Ministry of Agriculture , Irregation and livestock</t>
  </si>
  <si>
    <t xml:space="preserve">Deputy of Irregation and Natural Resouce </t>
  </si>
  <si>
    <t xml:space="preserve">General Directorate of Natural Resource Management </t>
  </si>
  <si>
    <t xml:space="preserve">Kabul Green Belt Project </t>
  </si>
  <si>
    <t>Jan</t>
  </si>
  <si>
    <t>Feb</t>
  </si>
  <si>
    <t>Mar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</si>
  <si>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</si>
  <si>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</si>
  <si>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</si>
  <si>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</si>
  <si>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</si>
  <si>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</si>
  <si>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</si>
  <si>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</si>
  <si>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</si>
  <si>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 xml:space="preserve">Sub Total </t>
  </si>
  <si>
    <t xml:space="preserve">B- Human Resource </t>
  </si>
  <si>
    <t>Mounth</t>
  </si>
  <si>
    <t xml:space="preserve">Project Coordinator </t>
  </si>
  <si>
    <t xml:space="preserve">M&amp;E Officer </t>
  </si>
  <si>
    <t>Water Resource Management Specialist</t>
  </si>
  <si>
    <t>Admin And Finance Assistant</t>
  </si>
  <si>
    <t>GIS specialist</t>
  </si>
  <si>
    <t>Greenry Outreach Specialist</t>
  </si>
  <si>
    <t>Urban Greenery and Forestry Development Specialist</t>
  </si>
  <si>
    <t>Urban Greenery and Forestry Development Officers</t>
  </si>
  <si>
    <t>Technican and Rangers</t>
  </si>
  <si>
    <t>Design Engineer</t>
  </si>
  <si>
    <t>Desgin Engineer</t>
  </si>
  <si>
    <t xml:space="preserve">Survery Engineer </t>
  </si>
  <si>
    <t xml:space="preserve">Survey Engineer </t>
  </si>
  <si>
    <t xml:space="preserve">Site Engineer </t>
  </si>
  <si>
    <t>Office clerck / Cleaner</t>
  </si>
  <si>
    <t xml:space="preserve">C- Nursery Management </t>
  </si>
  <si>
    <t>cultviation of tree's seed in total area of 10 Jeribs</t>
  </si>
  <si>
    <t>weed control and softing of 41 Jerib land for 3 times</t>
  </si>
  <si>
    <t xml:space="preserve">Sparse of seedling </t>
  </si>
  <si>
    <t>Preparation of Organic Compost</t>
  </si>
  <si>
    <t xml:space="preserve">Uprooting off seedling and packing of 127500 sabling </t>
  </si>
  <si>
    <t>D- New watershed sites( Badam Bagh, Tangi Gharow, Surrounding mountain of Munshi Mir Ghulam tower)</t>
  </si>
  <si>
    <t xml:space="preserve">construction of trenching size: 2 and 4 meter in total </t>
  </si>
  <si>
    <t xml:space="preserve">construction of forest road </t>
  </si>
  <si>
    <t>construction of check dams in the planned areas</t>
  </si>
  <si>
    <t>Digging of pits in planned areas</t>
  </si>
  <si>
    <t xml:space="preserve">Planting of different sabling </t>
  </si>
  <si>
    <t>cultivation of different kinds of perenial forages</t>
  </si>
  <si>
    <t xml:space="preserve">cultivation of seeds of purple ,wild almond , </t>
  </si>
  <si>
    <t>irregation of planted cutting by workers for 2 times</t>
  </si>
  <si>
    <t>irregation of plastic sacs</t>
  </si>
  <si>
    <t>irregation of last year planted trees and direct seeding</t>
  </si>
  <si>
    <t>preparing of traces and pits</t>
  </si>
  <si>
    <t>Mulching of planted trees for weed control and protecting the stem from direct sun shine</t>
  </si>
  <si>
    <t>replacing of death plants by planted plastic sacs</t>
  </si>
  <si>
    <t>irregation of new cultivated plants of autuam season and replaced sablings for 2 times</t>
  </si>
  <si>
    <t>irregation of cultivated plants by Mail water tankers</t>
  </si>
  <si>
    <t>Sacs</t>
  </si>
  <si>
    <t xml:space="preserve">F- Logistic and precuremnt </t>
  </si>
  <si>
    <t>purchasing of spraying machine (having generator along with wheel and all accessories)</t>
  </si>
  <si>
    <t xml:space="preserve">purchasig of pesticide / medicines for tratement of plants </t>
  </si>
  <si>
    <t xml:space="preserve">  Chemical fertilizer (Urea and DAP)</t>
  </si>
  <si>
    <t xml:space="preserve">work equipment - light - wooden heater - Scissor </t>
  </si>
  <si>
    <t>Service charge of Breshna Sherkat</t>
  </si>
  <si>
    <t>precurement and installation of electricity tower's and remained equipment from the last year</t>
  </si>
  <si>
    <t>payment of 15% of water tankering from last year</t>
  </si>
  <si>
    <t>purchasing of 2 kg of plastic sacs for seeding , packing tootls (thead - bags.. Etc) for transfering of sabling from nusery to the covered area</t>
  </si>
  <si>
    <t xml:space="preserve">120 Kva power generator with all accessories </t>
  </si>
  <si>
    <t xml:space="preserve">taps and pipe for the operation and maintenance of the irregation networks </t>
  </si>
  <si>
    <t>E-  Operation and Maintenance of pervious years areas</t>
  </si>
  <si>
    <t>Mohammad Amin Nesar</t>
  </si>
  <si>
    <t xml:space="preserve">Abdul Manan Azizi </t>
  </si>
  <si>
    <t>Confirmed by:</t>
  </si>
  <si>
    <t xml:space="preserve">Mohammad Aman Amanyar </t>
  </si>
  <si>
    <t>Director of Forest</t>
  </si>
  <si>
    <t xml:space="preserve">Mohammad Aref Hussani </t>
  </si>
  <si>
    <t xml:space="preserve">Director of Rangland </t>
  </si>
  <si>
    <t>Approved by:</t>
  </si>
  <si>
    <t>sys</t>
  </si>
  <si>
    <t>Grand total in AFN</t>
  </si>
  <si>
    <t>Grand total in USD$</t>
  </si>
  <si>
    <t xml:space="preserve">Acting Project Coordinator </t>
  </si>
  <si>
    <t>Financial Plan of Kabul Green Belt Project for 2018 (1397)</t>
  </si>
  <si>
    <t>District</t>
  </si>
  <si>
    <t>Village</t>
  </si>
  <si>
    <t xml:space="preserve">Item Description </t>
  </si>
  <si>
    <t>Qty</t>
  </si>
  <si>
    <t>Unite price</t>
  </si>
  <si>
    <t xml:space="preserve">Total price </t>
  </si>
  <si>
    <t>start date</t>
  </si>
  <si>
    <t>end date</t>
  </si>
  <si>
    <t>Beneficiaries</t>
  </si>
  <si>
    <t>Direct Beneficiaries</t>
  </si>
  <si>
    <t xml:space="preserve">indirect Beneficiaries </t>
  </si>
  <si>
    <t>kabul</t>
  </si>
  <si>
    <t>kabul city</t>
  </si>
  <si>
    <t>city</t>
  </si>
  <si>
    <t>Province</t>
  </si>
  <si>
    <t>shirdarwaza to Benihesar</t>
  </si>
  <si>
    <t>Munishi Mirghulam</t>
  </si>
  <si>
    <t>Tangi Gharow</t>
  </si>
  <si>
    <t>Badam Bagh</t>
  </si>
  <si>
    <t>Asamee Mountain</t>
  </si>
  <si>
    <t xml:space="preserve">KGBP staff </t>
  </si>
  <si>
    <t>Qasaba</t>
  </si>
  <si>
    <t xml:space="preserve">payment of 20% of Qasaba irregation network </t>
  </si>
  <si>
    <t xml:space="preserve">Payment of 70% of Shirdarwaza to Benihesar irregation network </t>
  </si>
  <si>
    <t>establishment of new irregation network in surrounding of Munishi Mirghulam mountain</t>
  </si>
  <si>
    <t>establishment of new irregation network in Tangi Gharow</t>
  </si>
  <si>
    <t xml:space="preserve">payment of 20% of Badam Bagh irregation network </t>
  </si>
  <si>
    <t>payment o 15 of irregation network of Asamee Mountain ( Peace light)</t>
  </si>
  <si>
    <t>construction of electricy system with all its equipment in new areas</t>
  </si>
  <si>
    <t xml:space="preserve">local people , Contractor </t>
  </si>
  <si>
    <t>manday</t>
  </si>
  <si>
    <t xml:space="preserve">A- irregation networks / construction </t>
  </si>
  <si>
    <t xml:space="preserve">sub total </t>
  </si>
  <si>
    <t>Staff NO</t>
  </si>
  <si>
    <t>B- Human Resources</t>
  </si>
  <si>
    <t xml:space="preserve">project staff </t>
  </si>
  <si>
    <t xml:space="preserve">l </t>
  </si>
  <si>
    <t xml:space="preserve">central farms </t>
  </si>
  <si>
    <t>productive farms</t>
  </si>
  <si>
    <t>NO person in day</t>
  </si>
  <si>
    <t>E- Operation and Maintenance of pervious years</t>
  </si>
  <si>
    <t>F- Procurement and logistics</t>
  </si>
  <si>
    <t xml:space="preserve">Office furniture </t>
  </si>
  <si>
    <t>grand total in AFN</t>
  </si>
  <si>
    <t>A- Irregation network /Construction</t>
  </si>
  <si>
    <t>extra work</t>
  </si>
  <si>
    <t>equip</t>
  </si>
  <si>
    <t xml:space="preserve">items </t>
  </si>
  <si>
    <t xml:space="preserve">unite price </t>
  </si>
  <si>
    <t>total price in AFN</t>
  </si>
  <si>
    <t>Total price in USD</t>
  </si>
  <si>
    <t>estimate</t>
  </si>
  <si>
    <t>B- Human Resource</t>
  </si>
  <si>
    <t xml:space="preserve">C- Nursery  Management </t>
  </si>
  <si>
    <t>D-  New watershed sites( Badam Bagh, Tangi Gharow, Surrounding mountain of Munshi Mir Ghulam tower)</t>
  </si>
  <si>
    <t>E- Operation and Maintanence of pervious years areas</t>
  </si>
  <si>
    <t>outreach tickets</t>
  </si>
  <si>
    <t>Bags</t>
  </si>
  <si>
    <t>kits</t>
  </si>
  <si>
    <t>$Grand total in USD$</t>
  </si>
  <si>
    <t>Total price in AFN</t>
  </si>
  <si>
    <t xml:space="preserve">Unite price </t>
  </si>
  <si>
    <t>Financial Plan of Kabul Green Belt Porject 2018 (1397)</t>
  </si>
  <si>
    <t>Combine Plan 2018(1397)</t>
  </si>
  <si>
    <t xml:space="preserve">Construction of Trenching in the size of 2 and 4 meters total </t>
  </si>
  <si>
    <t>Nursery  Combine Plan  2018 (1397)</t>
  </si>
  <si>
    <t xml:space="preserve">Filling and cultivation of plastic sacs </t>
  </si>
  <si>
    <t xml:space="preserve">Preparation of Organic Compost  </t>
  </si>
  <si>
    <t>prepared by:</t>
  </si>
  <si>
    <t xml:space="preserve">Checked by: </t>
  </si>
  <si>
    <t>Reviewed by:</t>
  </si>
  <si>
    <t>Mohammad Rafi Qazizada</t>
  </si>
  <si>
    <t>General Director of NRM</t>
  </si>
  <si>
    <t>Fahimullah Ziaee</t>
  </si>
  <si>
    <t xml:space="preserve">Deputy Minister for irregation and NRM </t>
  </si>
  <si>
    <t xml:space="preserve">Verified by: </t>
  </si>
  <si>
    <t>Eng. Nasir Ahmad Durani</t>
  </si>
  <si>
    <t>Minister of MAIL</t>
  </si>
  <si>
    <t>Urban Greenery and forestry Development Specialist</t>
  </si>
  <si>
    <t>Project Code: AFG/390742</t>
  </si>
  <si>
    <t xml:space="preserve"> Financial Plan on Monthly based for 1397 (2018)</t>
  </si>
  <si>
    <t>local people</t>
  </si>
  <si>
    <t>verified by:</t>
  </si>
  <si>
    <t>Eng. Nasir Ahmad Durani
Minister of MAIL</t>
  </si>
  <si>
    <t>Verified by:</t>
  </si>
  <si>
    <t>Deputy Minister of Irregation for NRM</t>
  </si>
  <si>
    <t xml:space="preserve">Eng. Nasir Ahmad Durani </t>
  </si>
  <si>
    <t xml:space="preserve">Cultivation of  seeds of purple, mountain almond  </t>
  </si>
  <si>
    <t xml:space="preserve">Cultivation of different kinds of perenial forage </t>
  </si>
  <si>
    <t xml:space="preserve">Irrigation of new  cultivated plants of autom season and repalced sapplings  for 2 times </t>
  </si>
  <si>
    <t xml:space="preserve">cultivation of deffernt kind of sapplings </t>
  </si>
  <si>
    <t xml:space="preserve">Irrigation of cultivated plants by MAIL water tankers </t>
  </si>
  <si>
    <r>
      <t xml:space="preserve">Estimated </t>
    </r>
    <r>
      <rPr>
        <b/>
        <sz val="14"/>
        <color theme="1"/>
        <rFont val="Calibri Light"/>
        <family val="2"/>
        <scheme val="major"/>
      </rPr>
      <t>↓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</si>
</sst>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_(* #,##0.0_);_(* \(#,##0.0\);_(* &quot;-&quot;?_);_(@_)"/>
    <numFmt numFmtId="168" formatCode="_(* #,##0.00000_);_(* \(#,##0.00000\);_(* &quot;-&quot;??_);_(@_)"/>
    <numFmt numFmtId="169" formatCode="_(* #,##0.000000_);_(* \(#,##0.000000\);_(* &quot;-&quot;??_);_(@_)"/>
    <numFmt numFmtId="170" formatCode="_(* #,##0.000_);_(* \(#,##0.000\);_(* &quot;-&quot;??_);_(@_)"/>
    <numFmt numFmtId="171" formatCode="_(* #,##0.0000_);_(* \(#,##0.0000\);_(* &quot;-&quot;??_);_(@_)"/>
    <numFmt numFmtId="172" formatCode="0.000"/>
    <numFmt numFmtId="173" formatCode="0.000000"/>
    <numFmt numFmtId="174" formatCode="0.00000"/>
    <numFmt numFmtId="175" formatCode="0.000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 Zar"/>
      <charset val="178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5" tint="0.59999389629810485"/>
      <name val="Calibri"/>
      <family val="2"/>
      <scheme val="minor"/>
    </font>
    <font>
      <sz val="12"/>
      <name val="Arial"/>
      <family val="2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B Zar"/>
      <charset val="178"/>
    </font>
    <font>
      <b/>
      <sz val="13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4"/>
      <color theme="9" tint="0.59999389629810485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Arial"/>
      <family val="2"/>
    </font>
    <font>
      <b/>
      <sz val="16"/>
      <color theme="9" tint="0.79998168889431442"/>
      <name val="Calibri"/>
      <family val="2"/>
      <scheme val="minor"/>
    </font>
    <font>
      <b/>
      <sz val="18"/>
      <name val="B Zar"/>
      <charset val="178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8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3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sz val="16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24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0" fontId="34" fillId="0" borderId="0"/>
  </cellStyleXfs>
  <cellXfs count="946">
    <xf numFmtId="0" fontId="0" fillId="0" borderId="0" xfId="0"/>
    <xf numFmtId="164" fontId="4" fillId="4" borderId="1" xfId="1" applyNumberFormat="1" applyFont="1" applyFill="1" applyBorder="1" applyAlignment="1">
      <alignment vertical="center"/>
    </xf>
    <xf numFmtId="164" fontId="3" fillId="4" borderId="1" xfId="1" applyNumberFormat="1" applyFont="1" applyFill="1" applyBorder="1" applyAlignment="1">
      <alignment horizontal="center" vertical="center" wrapText="1" readingOrder="2"/>
    </xf>
    <xf numFmtId="164" fontId="3" fillId="4" borderId="1" xfId="1" applyNumberFormat="1" applyFont="1" applyFill="1" applyBorder="1" applyAlignment="1">
      <alignment horizontal="center" vertical="center" readingOrder="2"/>
    </xf>
    <xf numFmtId="164" fontId="5" fillId="0" borderId="1" xfId="1" applyNumberFormat="1" applyFont="1" applyBorder="1" applyAlignment="1">
      <alignment horizontal="center" vertical="center" readingOrder="2"/>
    </xf>
    <xf numFmtId="164" fontId="7" fillId="0" borderId="1" xfId="1" applyNumberFormat="1" applyFont="1" applyFill="1" applyBorder="1" applyAlignment="1">
      <alignment horizontal="center" vertical="center"/>
    </xf>
    <xf numFmtId="164" fontId="7" fillId="0" borderId="2" xfId="1" applyNumberFormat="1" applyFont="1" applyBorder="1" applyAlignment="1">
      <alignment horizontal="right" vertical="center" wrapText="1" readingOrder="2"/>
    </xf>
    <xf numFmtId="0" fontId="7" fillId="0" borderId="1" xfId="0" applyFont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readingOrder="2"/>
    </xf>
    <xf numFmtId="0" fontId="6" fillId="0" borderId="1" xfId="0" applyFont="1" applyFill="1" applyBorder="1" applyAlignment="1">
      <alignment horizontal="center" vertical="center" wrapText="1" readingOrder="2"/>
    </xf>
    <xf numFmtId="0" fontId="6" fillId="0" borderId="1" xfId="0" applyFont="1" applyFill="1" applyBorder="1" applyAlignment="1">
      <alignment vertical="center" wrapText="1" readingOrder="2"/>
    </xf>
    <xf numFmtId="0" fontId="5" fillId="6" borderId="1" xfId="0" applyFont="1" applyFill="1" applyBorder="1" applyAlignment="1">
      <alignment horizontal="center" vertical="center" readingOrder="2"/>
    </xf>
    <xf numFmtId="164" fontId="5" fillId="6" borderId="1" xfId="1" applyNumberFormat="1" applyFont="1" applyFill="1" applyBorder="1" applyAlignment="1">
      <alignment horizontal="center" vertical="center" readingOrder="2"/>
    </xf>
    <xf numFmtId="164" fontId="8" fillId="6" borderId="1" xfId="1" applyNumberFormat="1" applyFont="1" applyFill="1" applyBorder="1" applyAlignment="1">
      <alignment horizontal="center" vertical="center" readingOrder="2"/>
    </xf>
    <xf numFmtId="164" fontId="3" fillId="6" borderId="1" xfId="1" applyNumberFormat="1" applyFont="1" applyFill="1" applyBorder="1" applyAlignment="1">
      <alignment vertical="center" readingOrder="2"/>
    </xf>
    <xf numFmtId="164" fontId="7" fillId="0" borderId="1" xfId="1" applyNumberFormat="1" applyFont="1" applyBorder="1" applyAlignment="1">
      <alignment horizontal="center" vertical="center" wrapText="1" readingOrder="2"/>
    </xf>
    <xf numFmtId="164" fontId="3" fillId="4" borderId="1" xfId="1" applyNumberFormat="1" applyFont="1" applyFill="1" applyBorder="1" applyAlignment="1">
      <alignment vertical="center" wrapText="1" readingOrder="2"/>
    </xf>
    <xf numFmtId="164" fontId="7" fillId="0" borderId="1" xfId="1" applyNumberFormat="1" applyFont="1" applyBorder="1" applyAlignment="1">
      <alignment horizontal="center" vertical="center" readingOrder="2"/>
    </xf>
    <xf numFmtId="164" fontId="7" fillId="0" borderId="1" xfId="1" applyNumberFormat="1" applyFont="1" applyBorder="1" applyAlignment="1">
      <alignment horizontal="center" vertical="center" readingOrder="1"/>
    </xf>
    <xf numFmtId="164" fontId="7" fillId="5" borderId="1" xfId="1" applyNumberFormat="1" applyFont="1" applyFill="1" applyBorder="1" applyAlignment="1">
      <alignment horizontal="center" vertical="center" readingOrder="2"/>
    </xf>
    <xf numFmtId="164" fontId="5" fillId="0" borderId="1" xfId="1" applyNumberFormat="1" applyFont="1" applyBorder="1" applyAlignment="1">
      <alignment vertical="center" readingOrder="2"/>
    </xf>
    <xf numFmtId="0" fontId="7" fillId="5" borderId="1" xfId="0" applyFont="1" applyFill="1" applyBorder="1" applyAlignment="1">
      <alignment horizontal="center" vertical="center" readingOrder="2"/>
    </xf>
    <xf numFmtId="164" fontId="7" fillId="0" borderId="1" xfId="1" applyNumberFormat="1" applyFont="1" applyFill="1" applyBorder="1" applyAlignment="1">
      <alignment horizontal="center" vertical="center" readingOrder="2"/>
    </xf>
    <xf numFmtId="165" fontId="7" fillId="0" borderId="1" xfId="1" applyNumberFormat="1" applyFont="1" applyBorder="1" applyAlignment="1">
      <alignment horizontal="center" vertical="center" readingOrder="2"/>
    </xf>
    <xf numFmtId="164" fontId="3" fillId="6" borderId="1" xfId="1" applyNumberFormat="1" applyFont="1" applyFill="1" applyBorder="1" applyAlignment="1">
      <alignment horizontal="center" vertical="center" readingOrder="2"/>
    </xf>
    <xf numFmtId="164" fontId="3" fillId="6" borderId="1" xfId="1" applyNumberFormat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>
      <alignment vertical="center" wrapText="1"/>
    </xf>
    <xf numFmtId="164" fontId="10" fillId="7" borderId="1" xfId="1" applyNumberFormat="1" applyFont="1" applyFill="1" applyBorder="1" applyAlignment="1">
      <alignment horizontal="center" vertical="center" readingOrder="2"/>
    </xf>
    <xf numFmtId="164" fontId="10" fillId="7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 readingOrder="2"/>
    </xf>
    <xf numFmtId="164" fontId="4" fillId="4" borderId="1" xfId="1" applyNumberFormat="1" applyFont="1" applyFill="1" applyBorder="1" applyAlignment="1">
      <alignment horizontal="center" vertical="center" wrapText="1" readingOrder="2"/>
    </xf>
    <xf numFmtId="164" fontId="4" fillId="4" borderId="1" xfId="1" applyNumberFormat="1" applyFont="1" applyFill="1" applyBorder="1" applyAlignment="1">
      <alignment horizontal="center" vertical="center" readingOrder="2"/>
    </xf>
    <xf numFmtId="0" fontId="0" fillId="0" borderId="1" xfId="0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 wrapText="1" readingOrder="2"/>
    </xf>
    <xf numFmtId="164" fontId="0" fillId="0" borderId="0" xfId="0" applyNumberFormat="1"/>
    <xf numFmtId="164" fontId="7" fillId="0" borderId="1" xfId="1" applyNumberFormat="1" applyFont="1" applyFill="1" applyBorder="1" applyAlignment="1">
      <alignment horizontal="center" vertical="center" readingOrder="1"/>
    </xf>
    <xf numFmtId="0" fontId="0" fillId="0" borderId="0" xfId="0" applyFill="1"/>
    <xf numFmtId="0" fontId="0" fillId="0" borderId="1" xfId="1" applyNumberFormat="1" applyFont="1" applyBorder="1" applyAlignment="1">
      <alignment horizontal="center" vertical="center"/>
    </xf>
    <xf numFmtId="43" fontId="3" fillId="0" borderId="0" xfId="0" applyNumberFormat="1" applyFont="1" applyAlignment="1">
      <alignment readingOrder="2"/>
    </xf>
    <xf numFmtId="0" fontId="3" fillId="0" borderId="0" xfId="0" applyFont="1" applyAlignment="1">
      <alignment readingOrder="2"/>
    </xf>
    <xf numFmtId="0" fontId="3" fillId="0" borderId="0" xfId="0" applyFont="1"/>
    <xf numFmtId="0" fontId="0" fillId="0" borderId="1" xfId="1" applyNumberFormat="1" applyFont="1" applyFill="1" applyBorder="1" applyAlignment="1">
      <alignment horizontal="center" vertical="center"/>
    </xf>
    <xf numFmtId="164" fontId="7" fillId="5" borderId="1" xfId="1" applyNumberFormat="1" applyFont="1" applyFill="1" applyBorder="1" applyAlignment="1">
      <alignment horizontal="center" vertical="center" readingOrder="2"/>
    </xf>
    <xf numFmtId="0" fontId="0" fillId="0" borderId="0" xfId="0" applyBorder="1"/>
    <xf numFmtId="0" fontId="0" fillId="0" borderId="0" xfId="0" applyAlignment="1">
      <alignment vertical="center"/>
    </xf>
    <xf numFmtId="0" fontId="3" fillId="0" borderId="5" xfId="0" applyFont="1" applyBorder="1" applyAlignment="1">
      <alignment horizontal="center" vertical="center" wrapText="1" readingOrder="2"/>
    </xf>
    <xf numFmtId="0" fontId="3" fillId="0" borderId="0" xfId="0" applyFont="1" applyBorder="1" applyAlignment="1">
      <alignment horizontal="center" wrapText="1" readingOrder="2"/>
    </xf>
    <xf numFmtId="164" fontId="3" fillId="4" borderId="1" xfId="1" applyNumberFormat="1" applyFont="1" applyFill="1" applyBorder="1" applyAlignment="1">
      <alignment horizontal="center" vertical="center" wrapText="1" readingOrder="2"/>
    </xf>
    <xf numFmtId="164" fontId="3" fillId="6" borderId="1" xfId="1" applyNumberFormat="1" applyFont="1" applyFill="1" applyBorder="1" applyAlignment="1">
      <alignment horizontal="center" vertical="center" readingOrder="2"/>
    </xf>
    <xf numFmtId="164" fontId="3" fillId="4" borderId="1" xfId="1" applyNumberFormat="1" applyFont="1" applyFill="1" applyBorder="1" applyAlignment="1">
      <alignment horizontal="center" vertical="center" readingOrder="2"/>
    </xf>
    <xf numFmtId="164" fontId="10" fillId="7" borderId="1" xfId="1" applyNumberFormat="1" applyFont="1" applyFill="1" applyBorder="1" applyAlignment="1">
      <alignment horizontal="center" vertical="center" readingOrder="2"/>
    </xf>
    <xf numFmtId="0" fontId="3" fillId="0" borderId="0" xfId="0" applyFont="1" applyBorder="1" applyAlignment="1">
      <alignment horizontal="left" vertical="center" readingOrder="2"/>
    </xf>
    <xf numFmtId="164" fontId="7" fillId="0" borderId="1" xfId="1" applyNumberFormat="1" applyFont="1" applyBorder="1" applyAlignment="1">
      <alignment horizontal="center" vertical="center" wrapText="1" readingOrder="2"/>
    </xf>
    <xf numFmtId="164" fontId="7" fillId="0" borderId="1" xfId="1" applyNumberFormat="1" applyFont="1" applyFill="1" applyBorder="1" applyAlignment="1">
      <alignment horizontal="center" vertical="center"/>
    </xf>
    <xf numFmtId="0" fontId="0" fillId="9" borderId="1" xfId="1" applyNumberFormat="1" applyFont="1" applyFill="1" applyBorder="1" applyAlignment="1">
      <alignment horizontal="center" vertical="center"/>
    </xf>
    <xf numFmtId="164" fontId="0" fillId="9" borderId="1" xfId="1" applyNumberFormat="1" applyFont="1" applyFill="1" applyBorder="1" applyAlignment="1">
      <alignment horizontal="center" vertical="center"/>
    </xf>
    <xf numFmtId="165" fontId="0" fillId="9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 readingOrder="2"/>
    </xf>
    <xf numFmtId="164" fontId="7" fillId="9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 readingOrder="2"/>
    </xf>
    <xf numFmtId="165" fontId="5" fillId="0" borderId="1" xfId="1" applyNumberFormat="1" applyFont="1" applyBorder="1" applyAlignment="1">
      <alignment vertical="center" readingOrder="2"/>
    </xf>
    <xf numFmtId="164" fontId="3" fillId="11" borderId="1" xfId="0" applyNumberFormat="1" applyFont="1" applyFill="1" applyBorder="1" applyAlignment="1">
      <alignment readingOrder="2"/>
    </xf>
    <xf numFmtId="43" fontId="3" fillId="11" borderId="1" xfId="0" applyNumberFormat="1" applyFont="1" applyFill="1" applyBorder="1" applyAlignment="1">
      <alignment readingOrder="2"/>
    </xf>
    <xf numFmtId="0" fontId="3" fillId="0" borderId="0" xfId="0" applyFont="1" applyBorder="1" applyAlignment="1">
      <alignment horizontal="center" vertical="center" wrapText="1" readingOrder="2"/>
    </xf>
    <xf numFmtId="0" fontId="3" fillId="0" borderId="0" xfId="0" applyFont="1" applyBorder="1" applyAlignment="1">
      <alignment horizontal="center" wrapText="1" readingOrder="2"/>
    </xf>
    <xf numFmtId="0" fontId="3" fillId="0" borderId="6" xfId="0" applyFont="1" applyBorder="1" applyAlignment="1">
      <alignment horizontal="center" wrapText="1" readingOrder="2"/>
    </xf>
    <xf numFmtId="0" fontId="3" fillId="0" borderId="0" xfId="0" applyFont="1" applyBorder="1" applyAlignment="1">
      <alignment horizontal="left" vertical="center" readingOrder="2"/>
    </xf>
    <xf numFmtId="0" fontId="3" fillId="0" borderId="0" xfId="0" applyFont="1" applyBorder="1" applyAlignment="1">
      <alignment vertical="center" readingOrder="2"/>
    </xf>
    <xf numFmtId="0" fontId="5" fillId="8" borderId="1" xfId="0" applyFont="1" applyFill="1" applyBorder="1" applyAlignment="1">
      <alignment horizontal="center" vertical="center" readingOrder="2"/>
    </xf>
    <xf numFmtId="164" fontId="5" fillId="8" borderId="1" xfId="1" applyNumberFormat="1" applyFont="1" applyFill="1" applyBorder="1" applyAlignment="1">
      <alignment horizontal="center" vertical="center" readingOrder="2"/>
    </xf>
    <xf numFmtId="164" fontId="3" fillId="8" borderId="1" xfId="1" applyNumberFormat="1" applyFont="1" applyFill="1" applyBorder="1" applyAlignment="1">
      <alignment horizontal="center" vertical="center" readingOrder="2"/>
    </xf>
    <xf numFmtId="0" fontId="7" fillId="0" borderId="1" xfId="1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readingOrder="1"/>
    </xf>
    <xf numFmtId="0" fontId="0" fillId="0" borderId="0" xfId="0" applyAlignment="1">
      <alignment readingOrder="1"/>
    </xf>
    <xf numFmtId="164" fontId="4" fillId="8" borderId="1" xfId="1" applyNumberFormat="1" applyFont="1" applyFill="1" applyBorder="1" applyAlignment="1">
      <alignment horizontal="center" vertical="center" wrapText="1" readingOrder="1"/>
    </xf>
    <xf numFmtId="0" fontId="0" fillId="5" borderId="0" xfId="0" applyFill="1" applyAlignment="1">
      <alignment readingOrder="1"/>
    </xf>
    <xf numFmtId="164" fontId="5" fillId="5" borderId="1" xfId="1" applyNumberFormat="1" applyFont="1" applyFill="1" applyBorder="1" applyAlignment="1">
      <alignment horizontal="center" vertical="center" readingOrder="1"/>
    </xf>
    <xf numFmtId="0" fontId="12" fillId="0" borderId="0" xfId="0" applyFont="1" applyAlignment="1">
      <alignment vertical="center" readingOrder="1"/>
    </xf>
    <xf numFmtId="164" fontId="3" fillId="4" borderId="1" xfId="1" applyNumberFormat="1" applyFont="1" applyFill="1" applyBorder="1" applyAlignment="1">
      <alignment horizontal="center" vertical="center" readingOrder="1"/>
    </xf>
    <xf numFmtId="0" fontId="13" fillId="5" borderId="1" xfId="0" applyFont="1" applyFill="1" applyBorder="1" applyAlignment="1">
      <alignment horizontal="center" vertical="center" wrapText="1" readingOrder="1"/>
    </xf>
    <xf numFmtId="0" fontId="7" fillId="5" borderId="1" xfId="0" applyFont="1" applyFill="1" applyBorder="1" applyAlignment="1">
      <alignment horizontal="center" vertical="center" readingOrder="1"/>
    </xf>
    <xf numFmtId="164" fontId="7" fillId="0" borderId="0" xfId="1" applyNumberFormat="1" applyFont="1" applyAlignment="1">
      <alignment readingOrder="1"/>
    </xf>
    <xf numFmtId="0" fontId="7" fillId="0" borderId="0" xfId="0" applyFont="1" applyAlignment="1">
      <alignment readingOrder="1"/>
    </xf>
    <xf numFmtId="0" fontId="15" fillId="0" borderId="0" xfId="0" applyFont="1" applyAlignment="1">
      <alignment readingOrder="1"/>
    </xf>
    <xf numFmtId="0" fontId="0" fillId="0" borderId="0" xfId="0" applyFill="1" applyAlignment="1">
      <alignment readingOrder="1"/>
    </xf>
    <xf numFmtId="0" fontId="12" fillId="0" borderId="0" xfId="0" applyFont="1" applyAlignment="1">
      <alignment readingOrder="1"/>
    </xf>
    <xf numFmtId="0" fontId="12" fillId="0" borderId="0" xfId="0" applyFont="1" applyBorder="1" applyAlignment="1">
      <alignment readingOrder="1"/>
    </xf>
    <xf numFmtId="0" fontId="15" fillId="5" borderId="7" xfId="0" applyFont="1" applyFill="1" applyBorder="1" applyAlignment="1">
      <alignment horizontal="center" vertical="center" readingOrder="1"/>
    </xf>
    <xf numFmtId="0" fontId="5" fillId="5" borderId="1" xfId="0" applyFont="1" applyFill="1" applyBorder="1" applyAlignment="1">
      <alignment horizontal="center" vertical="center" readingOrder="1"/>
    </xf>
    <xf numFmtId="0" fontId="5" fillId="4" borderId="1" xfId="0" applyFont="1" applyFill="1" applyBorder="1" applyAlignment="1">
      <alignment horizontal="center" vertical="center" readingOrder="1"/>
    </xf>
    <xf numFmtId="0" fontId="12" fillId="4" borderId="12" xfId="0" applyFont="1" applyFill="1" applyBorder="1" applyAlignment="1">
      <alignment vertical="center" readingOrder="1"/>
    </xf>
    <xf numFmtId="0" fontId="12" fillId="4" borderId="5" xfId="0" applyFont="1" applyFill="1" applyBorder="1" applyAlignment="1">
      <alignment vertical="center" readingOrder="1"/>
    </xf>
    <xf numFmtId="0" fontId="12" fillId="4" borderId="10" xfId="0" applyFont="1" applyFill="1" applyBorder="1" applyAlignment="1">
      <alignment vertical="center" readingOrder="1"/>
    </xf>
    <xf numFmtId="0" fontId="12" fillId="4" borderId="4" xfId="0" applyFont="1" applyFill="1" applyBorder="1" applyAlignment="1">
      <alignment vertical="center" readingOrder="1"/>
    </xf>
    <xf numFmtId="0" fontId="12" fillId="14" borderId="1" xfId="0" applyFont="1" applyFill="1" applyBorder="1" applyAlignment="1">
      <alignment horizontal="center" vertical="center" wrapText="1"/>
    </xf>
    <xf numFmtId="0" fontId="0" fillId="0" borderId="0" xfId="0" applyFont="1"/>
    <xf numFmtId="164" fontId="12" fillId="0" borderId="1" xfId="0" applyNumberFormat="1" applyFont="1" applyFill="1" applyBorder="1" applyAlignment="1">
      <alignment vertical="center" readingOrder="1"/>
    </xf>
    <xf numFmtId="43" fontId="12" fillId="0" borderId="1" xfId="0" applyNumberFormat="1" applyFont="1" applyFill="1" applyBorder="1" applyAlignment="1">
      <alignment vertical="center" readingOrder="1"/>
    </xf>
    <xf numFmtId="0" fontId="12" fillId="0" borderId="1" xfId="0" applyFont="1" applyFill="1" applyBorder="1" applyAlignment="1">
      <alignment vertical="center" readingOrder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vertical="center" readingOrder="1"/>
    </xf>
    <xf numFmtId="0" fontId="12" fillId="0" borderId="1" xfId="0" applyFont="1" applyBorder="1" applyAlignment="1">
      <alignment horizontal="center" vertical="center"/>
    </xf>
    <xf numFmtId="43" fontId="12" fillId="0" borderId="1" xfId="1" applyNumberFormat="1" applyFont="1" applyFill="1" applyBorder="1" applyAlignment="1">
      <alignment vertical="center" readingOrder="1"/>
    </xf>
    <xf numFmtId="0" fontId="1" fillId="0" borderId="0" xfId="0" applyFont="1" applyAlignment="1">
      <alignment readingOrder="1"/>
    </xf>
    <xf numFmtId="0" fontId="0" fillId="0" borderId="0" xfId="0"/>
    <xf numFmtId="0" fontId="7" fillId="0" borderId="1" xfId="0" applyFont="1" applyFill="1" applyBorder="1" applyAlignment="1">
      <alignment horizontal="center" vertical="center" readingOrder="1"/>
    </xf>
    <xf numFmtId="0" fontId="7" fillId="0" borderId="1" xfId="0" applyFont="1" applyFill="1" applyBorder="1" applyAlignment="1">
      <alignment horizontal="center" vertical="center" readingOrder="2"/>
    </xf>
    <xf numFmtId="0" fontId="0" fillId="0" borderId="0" xfId="0" applyAlignment="1">
      <alignment readingOrder="1"/>
    </xf>
    <xf numFmtId="0" fontId="12" fillId="0" borderId="0" xfId="0" applyFont="1" applyAlignment="1">
      <alignment vertical="center" readingOrder="1"/>
    </xf>
    <xf numFmtId="43" fontId="0" fillId="0" borderId="0" xfId="0" applyNumberFormat="1"/>
    <xf numFmtId="0" fontId="0" fillId="0" borderId="1" xfId="0" applyBorder="1" applyAlignment="1">
      <alignment vertical="center" wrapText="1"/>
    </xf>
    <xf numFmtId="164" fontId="7" fillId="0" borderId="1" xfId="1" applyNumberFormat="1" applyFont="1" applyBorder="1" applyAlignment="1">
      <alignment horizontal="center" vertical="center"/>
    </xf>
    <xf numFmtId="0" fontId="5" fillId="0" borderId="0" xfId="0" applyFont="1"/>
    <xf numFmtId="164" fontId="7" fillId="6" borderId="1" xfId="1" applyNumberFormat="1" applyFont="1" applyFill="1" applyBorder="1" applyAlignment="1">
      <alignment horizontal="center" vertical="center" readingOrder="1"/>
    </xf>
    <xf numFmtId="165" fontId="7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wrapText="1" readingOrder="1"/>
    </xf>
    <xf numFmtId="0" fontId="0" fillId="0" borderId="0" xfId="0" applyAlignment="1">
      <alignment vertical="top" readingOrder="1"/>
    </xf>
    <xf numFmtId="0" fontId="0" fillId="0" borderId="0" xfId="0"/>
    <xf numFmtId="0" fontId="0" fillId="0" borderId="15" xfId="0" applyBorder="1"/>
    <xf numFmtId="0" fontId="0" fillId="0" borderId="15" xfId="0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166" fontId="0" fillId="0" borderId="15" xfId="0" applyNumberFormat="1" applyBorder="1"/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2" fontId="0" fillId="0" borderId="15" xfId="0" applyNumberFormat="1" applyBorder="1"/>
    <xf numFmtId="164" fontId="4" fillId="0" borderId="0" xfId="1" applyNumberFormat="1" applyFont="1" applyAlignment="1">
      <alignment readingOrder="1"/>
    </xf>
    <xf numFmtId="0" fontId="16" fillId="0" borderId="0" xfId="0" applyFont="1" applyAlignment="1">
      <alignment vertical="top" wrapText="1" readingOrder="1"/>
    </xf>
    <xf numFmtId="0" fontId="12" fillId="0" borderId="0" xfId="0" applyFont="1" applyBorder="1" applyAlignment="1">
      <alignment vertical="center" readingOrder="1"/>
    </xf>
    <xf numFmtId="164" fontId="1" fillId="5" borderId="1" xfId="1" applyNumberFormat="1" applyFont="1" applyFill="1" applyBorder="1" applyAlignment="1">
      <alignment horizontal="center" vertical="center" readingOrder="1"/>
    </xf>
    <xf numFmtId="0" fontId="3" fillId="0" borderId="0" xfId="0" applyFont="1" applyBorder="1" applyAlignment="1">
      <alignment horizontal="left" vertical="center" readingOrder="2"/>
    </xf>
    <xf numFmtId="0" fontId="3" fillId="0" borderId="0" xfId="0" applyFont="1" applyBorder="1" applyAlignment="1">
      <alignment horizontal="center" vertical="center" wrapText="1" readingOrder="2"/>
    </xf>
    <xf numFmtId="0" fontId="6" fillId="5" borderId="1" xfId="0" applyFont="1" applyFill="1" applyBorder="1" applyAlignment="1">
      <alignment horizontal="right" vertical="center" wrapText="1" readingOrder="1"/>
    </xf>
    <xf numFmtId="0" fontId="6" fillId="0" borderId="1" xfId="0" applyFont="1" applyFill="1" applyBorder="1" applyAlignment="1">
      <alignment horizontal="right" vertical="center" wrapText="1" readingOrder="1"/>
    </xf>
    <xf numFmtId="0" fontId="4" fillId="4" borderId="1" xfId="0" applyFont="1" applyFill="1" applyBorder="1" applyAlignment="1">
      <alignment vertical="center" readingOrder="2"/>
    </xf>
    <xf numFmtId="0" fontId="3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 readingOrder="2"/>
    </xf>
    <xf numFmtId="0" fontId="0" fillId="0" borderId="1" xfId="0" applyBorder="1" applyAlignment="1">
      <alignment vertical="center"/>
    </xf>
    <xf numFmtId="0" fontId="6" fillId="5" borderId="1" xfId="0" applyFont="1" applyFill="1" applyBorder="1" applyAlignment="1">
      <alignment horizontal="right" vertical="center" wrapText="1" readingOrder="2"/>
    </xf>
    <xf numFmtId="0" fontId="0" fillId="0" borderId="0" xfId="0" applyAlignment="1">
      <alignment vertical="center" readingOrder="2"/>
    </xf>
    <xf numFmtId="43" fontId="7" fillId="5" borderId="1" xfId="1" applyNumberFormat="1" applyFont="1" applyFill="1" applyBorder="1" applyAlignment="1">
      <alignment horizontal="center" vertical="center" readingOrder="2"/>
    </xf>
    <xf numFmtId="165" fontId="7" fillId="5" borderId="1" xfId="1" applyNumberFormat="1" applyFont="1" applyFill="1" applyBorder="1" applyAlignment="1">
      <alignment horizontal="center" vertical="center" readingOrder="2"/>
    </xf>
    <xf numFmtId="43" fontId="0" fillId="0" borderId="1" xfId="1" applyFont="1" applyBorder="1" applyAlignment="1">
      <alignment horizontal="center" vertical="center"/>
    </xf>
    <xf numFmtId="0" fontId="3" fillId="17" borderId="1" xfId="0" applyFont="1" applyFill="1" applyBorder="1" applyAlignment="1">
      <alignment vertical="center" wrapText="1" readingOrder="2"/>
    </xf>
    <xf numFmtId="0" fontId="3" fillId="17" borderId="1" xfId="0" applyFont="1" applyFill="1" applyBorder="1" applyAlignment="1">
      <alignment horizontal="center" vertical="center" wrapText="1" readingOrder="2"/>
    </xf>
    <xf numFmtId="0" fontId="4" fillId="17" borderId="1" xfId="0" applyFont="1" applyFill="1" applyBorder="1" applyAlignment="1">
      <alignment horizontal="center" vertical="center" wrapText="1" readingOrder="2"/>
    </xf>
    <xf numFmtId="0" fontId="4" fillId="17" borderId="1" xfId="0" applyFont="1" applyFill="1" applyBorder="1" applyAlignment="1">
      <alignment vertical="center" readingOrder="2"/>
    </xf>
    <xf numFmtId="0" fontId="4" fillId="17" borderId="1" xfId="0" applyFont="1" applyFill="1" applyBorder="1" applyAlignment="1">
      <alignment vertical="center" wrapText="1" readingOrder="2"/>
    </xf>
    <xf numFmtId="0" fontId="5" fillId="16" borderId="1" xfId="0" applyFont="1" applyFill="1" applyBorder="1" applyAlignment="1">
      <alignment horizontal="center" vertical="center" readingOrder="2"/>
    </xf>
    <xf numFmtId="164" fontId="5" fillId="16" borderId="1" xfId="1" applyNumberFormat="1" applyFont="1" applyFill="1" applyBorder="1" applyAlignment="1">
      <alignment horizontal="center" vertical="center" readingOrder="2"/>
    </xf>
    <xf numFmtId="165" fontId="20" fillId="16" borderId="1" xfId="1" applyNumberFormat="1" applyFont="1" applyFill="1" applyBorder="1" applyAlignment="1">
      <alignment horizontal="center" vertical="center" readingOrder="2"/>
    </xf>
    <xf numFmtId="164" fontId="3" fillId="16" borderId="1" xfId="1" applyNumberFormat="1" applyFont="1" applyFill="1" applyBorder="1" applyAlignment="1">
      <alignment horizontal="center" vertical="center" readingOrder="2"/>
    </xf>
    <xf numFmtId="0" fontId="7" fillId="16" borderId="1" xfId="0" applyFont="1" applyFill="1" applyBorder="1" applyAlignment="1">
      <alignment horizontal="center" vertical="center" readingOrder="2"/>
    </xf>
    <xf numFmtId="43" fontId="0" fillId="16" borderId="1" xfId="1" applyFont="1" applyFill="1" applyBorder="1" applyAlignment="1">
      <alignment horizontal="center" vertical="center"/>
    </xf>
    <xf numFmtId="164" fontId="7" fillId="16" borderId="1" xfId="1" applyNumberFormat="1" applyFont="1" applyFill="1" applyBorder="1" applyAlignment="1">
      <alignment horizontal="center" vertical="center" readingOrder="2"/>
    </xf>
    <xf numFmtId="43" fontId="7" fillId="16" borderId="1" xfId="1" applyNumberFormat="1" applyFont="1" applyFill="1" applyBorder="1" applyAlignment="1">
      <alignment horizontal="center" vertical="center" readingOrder="2"/>
    </xf>
    <xf numFmtId="164" fontId="4" fillId="16" borderId="1" xfId="1" applyNumberFormat="1" applyFont="1" applyFill="1" applyBorder="1" applyAlignment="1">
      <alignment horizontal="center" vertical="center" readingOrder="2"/>
    </xf>
    <xf numFmtId="164" fontId="1" fillId="16" borderId="1" xfId="1" applyNumberFormat="1" applyFont="1" applyFill="1" applyBorder="1" applyAlignment="1">
      <alignment vertical="center" wrapText="1" readingOrder="2"/>
    </xf>
    <xf numFmtId="165" fontId="0" fillId="16" borderId="1" xfId="1" applyNumberFormat="1" applyFont="1" applyFill="1" applyBorder="1" applyAlignment="1">
      <alignment horizontal="center" vertical="center"/>
    </xf>
    <xf numFmtId="0" fontId="3" fillId="16" borderId="1" xfId="1" applyNumberFormat="1" applyFont="1" applyFill="1" applyBorder="1" applyAlignment="1">
      <alignment vertical="center"/>
    </xf>
    <xf numFmtId="43" fontId="7" fillId="5" borderId="1" xfId="1" applyFont="1" applyFill="1" applyBorder="1" applyAlignment="1">
      <alignment horizontal="center" vertical="center" readingOrder="2"/>
    </xf>
    <xf numFmtId="43" fontId="3" fillId="16" borderId="1" xfId="1" applyNumberFormat="1" applyFont="1" applyFill="1" applyBorder="1" applyAlignment="1">
      <alignment vertical="center"/>
    </xf>
    <xf numFmtId="164" fontId="3" fillId="16" borderId="1" xfId="1" applyNumberFormat="1" applyFont="1" applyFill="1" applyBorder="1" applyAlignment="1">
      <alignment vertical="center"/>
    </xf>
    <xf numFmtId="165" fontId="3" fillId="16" borderId="1" xfId="1" applyNumberFormat="1" applyFont="1" applyFill="1" applyBorder="1" applyAlignment="1">
      <alignment vertical="center"/>
    </xf>
    <xf numFmtId="43" fontId="7" fillId="0" borderId="1" xfId="1" applyFont="1" applyBorder="1" applyAlignment="1">
      <alignment horizontal="center" vertical="center" readingOrder="2"/>
    </xf>
    <xf numFmtId="43" fontId="7" fillId="5" borderId="1" xfId="1" applyFont="1" applyFill="1" applyBorder="1" applyAlignment="1">
      <alignment horizontal="center" vertical="center" readingOrder="1"/>
    </xf>
    <xf numFmtId="43" fontId="7" fillId="0" borderId="1" xfId="1" applyFont="1" applyBorder="1" applyAlignment="1">
      <alignment horizontal="center" vertical="center" readingOrder="1"/>
    </xf>
    <xf numFmtId="43" fontId="7" fillId="0" borderId="1" xfId="1" applyFont="1" applyBorder="1" applyAlignment="1">
      <alignment vertical="center" readingOrder="1"/>
    </xf>
    <xf numFmtId="43" fontId="7" fillId="0" borderId="1" xfId="1" applyFont="1" applyBorder="1" applyAlignment="1">
      <alignment vertical="center"/>
    </xf>
    <xf numFmtId="43" fontId="7" fillId="0" borderId="1" xfId="1" applyFont="1" applyFill="1" applyBorder="1" applyAlignment="1">
      <alignment horizontal="center" vertical="center" readingOrder="1"/>
    </xf>
    <xf numFmtId="43" fontId="7" fillId="0" borderId="1" xfId="1" applyFont="1" applyFill="1" applyBorder="1" applyAlignment="1">
      <alignment vertical="center" readingOrder="1"/>
    </xf>
    <xf numFmtId="43" fontId="7" fillId="0" borderId="1" xfId="1" applyFont="1" applyFill="1" applyBorder="1" applyAlignment="1">
      <alignment vertical="center"/>
    </xf>
    <xf numFmtId="43" fontId="5" fillId="6" borderId="1" xfId="1" applyFont="1" applyFill="1" applyBorder="1" applyAlignment="1">
      <alignment horizontal="center" vertical="center" readingOrder="2"/>
    </xf>
    <xf numFmtId="43" fontId="3" fillId="6" borderId="1" xfId="1" applyFont="1" applyFill="1" applyBorder="1" applyAlignment="1">
      <alignment horizontal="center" vertical="center" readingOrder="2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 readingOrder="2"/>
    </xf>
    <xf numFmtId="0" fontId="5" fillId="18" borderId="1" xfId="0" applyFont="1" applyFill="1" applyBorder="1" applyAlignment="1">
      <alignment horizontal="center" vertical="center" readingOrder="2"/>
    </xf>
    <xf numFmtId="164" fontId="5" fillId="18" borderId="1" xfId="1" applyNumberFormat="1" applyFont="1" applyFill="1" applyBorder="1" applyAlignment="1">
      <alignment horizontal="center" vertical="center" readingOrder="2"/>
    </xf>
    <xf numFmtId="164" fontId="3" fillId="18" borderId="1" xfId="1" applyNumberFormat="1" applyFont="1" applyFill="1" applyBorder="1" applyAlignment="1">
      <alignment horizontal="center" vertical="center" readingOrder="2"/>
    </xf>
    <xf numFmtId="164" fontId="20" fillId="18" borderId="1" xfId="1" applyNumberFormat="1" applyFont="1" applyFill="1" applyBorder="1" applyAlignment="1">
      <alignment horizontal="center" vertical="center" readingOrder="2"/>
    </xf>
    <xf numFmtId="164" fontId="23" fillId="18" borderId="1" xfId="1" applyNumberFormat="1" applyFont="1" applyFill="1" applyBorder="1" applyAlignment="1">
      <alignment horizontal="center" vertical="center" readingOrder="2"/>
    </xf>
    <xf numFmtId="164" fontId="20" fillId="8" borderId="1" xfId="1" applyNumberFormat="1" applyFont="1" applyFill="1" applyBorder="1" applyAlignment="1">
      <alignment horizontal="center" vertical="center" readingOrder="2"/>
    </xf>
    <xf numFmtId="164" fontId="23" fillId="8" borderId="1" xfId="1" applyNumberFormat="1" applyFont="1" applyFill="1" applyBorder="1" applyAlignment="1">
      <alignment horizontal="center" vertical="center" readingOrder="2"/>
    </xf>
    <xf numFmtId="0" fontId="4" fillId="0" borderId="1" xfId="0" applyFont="1" applyFill="1" applyBorder="1" applyAlignment="1">
      <alignment horizontal="center" vertical="center" wrapText="1" readingOrder="2"/>
    </xf>
    <xf numFmtId="164" fontId="3" fillId="16" borderId="1" xfId="1" applyNumberFormat="1" applyFont="1" applyFill="1" applyBorder="1" applyAlignment="1">
      <alignment horizontal="center" vertical="center" readingOrder="2"/>
    </xf>
    <xf numFmtId="0" fontId="6" fillId="5" borderId="1" xfId="0" applyFont="1" applyFill="1" applyBorder="1" applyAlignment="1">
      <alignment horizontal="right" vertical="center" wrapText="1" readingOrder="2"/>
    </xf>
    <xf numFmtId="0" fontId="3" fillId="0" borderId="1" xfId="0" applyFont="1" applyFill="1" applyBorder="1" applyAlignment="1">
      <alignment vertical="center" wrapText="1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right" vertical="center" wrapText="1" readingOrder="1"/>
    </xf>
    <xf numFmtId="0" fontId="9" fillId="0" borderId="1" xfId="0" applyFont="1" applyBorder="1" applyAlignment="1">
      <alignment horizontal="right" vertical="center" wrapText="1" readingOrder="1"/>
    </xf>
    <xf numFmtId="164" fontId="3" fillId="6" borderId="1" xfId="1" applyNumberFormat="1" applyFont="1" applyFill="1" applyBorder="1" applyAlignment="1">
      <alignment horizontal="center" vertical="center" readingOrder="2"/>
    </xf>
    <xf numFmtId="1" fontId="19" fillId="6" borderId="2" xfId="1" applyNumberFormat="1" applyFont="1" applyFill="1" applyBorder="1" applyAlignment="1">
      <alignment horizontal="center" vertical="center" wrapText="1" readingOrder="2"/>
    </xf>
    <xf numFmtId="0" fontId="4" fillId="4" borderId="1" xfId="0" applyFont="1" applyFill="1" applyBorder="1" applyAlignment="1">
      <alignment horizontal="center" vertical="center" wrapText="1"/>
    </xf>
    <xf numFmtId="43" fontId="7" fillId="0" borderId="1" xfId="1" applyNumberFormat="1" applyFont="1" applyFill="1" applyBorder="1" applyAlignment="1">
      <alignment horizontal="center" vertical="center"/>
    </xf>
    <xf numFmtId="1" fontId="4" fillId="6" borderId="2" xfId="1" applyNumberFormat="1" applyFont="1" applyFill="1" applyBorder="1" applyAlignment="1">
      <alignment horizontal="center" vertical="center" wrapText="1" readingOrder="2"/>
    </xf>
    <xf numFmtId="0" fontId="4" fillId="4" borderId="1" xfId="0" applyFont="1" applyFill="1" applyBorder="1" applyAlignment="1">
      <alignment horizontal="center" vertical="center" readingOrder="2"/>
    </xf>
    <xf numFmtId="0" fontId="4" fillId="4" borderId="1" xfId="0" applyFont="1" applyFill="1" applyBorder="1" applyAlignment="1">
      <alignment horizontal="center" vertical="center"/>
    </xf>
    <xf numFmtId="164" fontId="15" fillId="19" borderId="1" xfId="1" applyNumberFormat="1" applyFont="1" applyFill="1" applyBorder="1" applyAlignment="1">
      <alignment horizontal="center" vertical="center" readingOrder="2"/>
    </xf>
    <xf numFmtId="164" fontId="10" fillId="19" borderId="1" xfId="1" applyNumberFormat="1" applyFont="1" applyFill="1" applyBorder="1" applyAlignment="1">
      <alignment horizontal="center" vertical="center" readingOrder="2"/>
    </xf>
    <xf numFmtId="164" fontId="28" fillId="19" borderId="1" xfId="1" applyNumberFormat="1" applyFont="1" applyFill="1" applyBorder="1" applyAlignment="1">
      <alignment horizontal="center" vertical="center" readingOrder="2"/>
    </xf>
    <xf numFmtId="164" fontId="30" fillId="19" borderId="1" xfId="1" applyNumberFormat="1" applyFont="1" applyFill="1" applyBorder="1" applyAlignment="1">
      <alignment horizontal="center" vertical="center" readingOrder="2"/>
    </xf>
    <xf numFmtId="164" fontId="3" fillId="6" borderId="2" xfId="1" applyNumberFormat="1" applyFont="1" applyFill="1" applyBorder="1" applyAlignment="1">
      <alignment horizontal="center" vertical="center" readingOrder="2"/>
    </xf>
    <xf numFmtId="0" fontId="4" fillId="4" borderId="2" xfId="0" applyFont="1" applyFill="1" applyBorder="1" applyAlignment="1">
      <alignment horizontal="center" vertical="center" wrapText="1" readingOrder="2"/>
    </xf>
    <xf numFmtId="169" fontId="7" fillId="0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top" wrapText="1" readingOrder="2"/>
    </xf>
    <xf numFmtId="0" fontId="4" fillId="4" borderId="1" xfId="0" applyFont="1" applyFill="1" applyBorder="1" applyAlignment="1">
      <alignment vertical="top" readingOrder="2"/>
    </xf>
    <xf numFmtId="0" fontId="7" fillId="0" borderId="0" xfId="0" applyFont="1" applyAlignment="1">
      <alignment vertical="top" readingOrder="2"/>
    </xf>
    <xf numFmtId="0" fontId="7" fillId="0" borderId="0" xfId="0" applyFont="1" applyAlignment="1">
      <alignment vertical="center"/>
    </xf>
    <xf numFmtId="0" fontId="7" fillId="0" borderId="0" xfId="0" applyFont="1"/>
    <xf numFmtId="0" fontId="4" fillId="4" borderId="2" xfId="0" applyFont="1" applyFill="1" applyBorder="1" applyAlignment="1">
      <alignment horizontal="center" vertical="center" readingOrder="2"/>
    </xf>
    <xf numFmtId="0" fontId="0" fillId="0" borderId="0" xfId="0" applyAlignment="1">
      <alignment horizontal="center"/>
    </xf>
    <xf numFmtId="0" fontId="4" fillId="4" borderId="1" xfId="0" applyNumberFormat="1" applyFont="1" applyFill="1" applyBorder="1" applyAlignment="1">
      <alignment horizontal="center" vertical="top" wrapText="1" readingOrder="2"/>
    </xf>
    <xf numFmtId="0" fontId="3" fillId="6" borderId="1" xfId="1" applyNumberFormat="1" applyFont="1" applyFill="1" applyBorder="1" applyAlignment="1">
      <alignment horizontal="center" vertical="center" readingOrder="2"/>
    </xf>
    <xf numFmtId="0" fontId="4" fillId="4" borderId="1" xfId="0" applyNumberFormat="1" applyFont="1" applyFill="1" applyBorder="1" applyAlignment="1">
      <alignment horizontal="center" vertical="center" wrapText="1" readingOrder="2"/>
    </xf>
    <xf numFmtId="0" fontId="7" fillId="5" borderId="1" xfId="1" applyNumberFormat="1" applyFont="1" applyFill="1" applyBorder="1" applyAlignment="1">
      <alignment horizontal="center" vertical="center" readingOrder="2"/>
    </xf>
    <xf numFmtId="0" fontId="28" fillId="19" borderId="1" xfId="1" applyNumberFormat="1" applyFont="1" applyFill="1" applyBorder="1" applyAlignment="1">
      <alignment horizontal="center" vertical="center" readingOrder="2"/>
    </xf>
    <xf numFmtId="0" fontId="0" fillId="0" borderId="0" xfId="0" applyNumberFormat="1" applyAlignment="1">
      <alignment horizontal="center"/>
    </xf>
    <xf numFmtId="0" fontId="15" fillId="0" borderId="0" xfId="0" applyFont="1"/>
    <xf numFmtId="0" fontId="10" fillId="15" borderId="1" xfId="0" applyFont="1" applyFill="1" applyBorder="1" applyAlignment="1">
      <alignment vertical="center"/>
    </xf>
    <xf numFmtId="43" fontId="10" fillId="15" borderId="1" xfId="0" applyNumberFormat="1" applyFont="1" applyFill="1" applyBorder="1" applyAlignment="1">
      <alignment vertical="center"/>
    </xf>
    <xf numFmtId="0" fontId="10" fillId="15" borderId="1" xfId="0" applyNumberFormat="1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/>
    </xf>
    <xf numFmtId="43" fontId="7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 readingOrder="2"/>
    </xf>
    <xf numFmtId="43" fontId="7" fillId="0" borderId="0" xfId="0" applyNumberFormat="1" applyFont="1"/>
    <xf numFmtId="164" fontId="7" fillId="0" borderId="0" xfId="0" applyNumberFormat="1" applyFont="1"/>
    <xf numFmtId="170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top" wrapText="1"/>
    </xf>
    <xf numFmtId="171" fontId="7" fillId="0" borderId="1" xfId="1" applyNumberFormat="1" applyFont="1" applyBorder="1" applyAlignment="1">
      <alignment horizontal="right" vertical="center"/>
    </xf>
    <xf numFmtId="172" fontId="7" fillId="0" borderId="1" xfId="0" applyNumberFormat="1" applyFont="1" applyBorder="1" applyAlignment="1">
      <alignment horizontal="center" vertical="center"/>
    </xf>
    <xf numFmtId="168" fontId="7" fillId="0" borderId="1" xfId="1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 readingOrder="2"/>
    </xf>
    <xf numFmtId="0" fontId="7" fillId="0" borderId="1" xfId="0" applyNumberFormat="1" applyFont="1" applyBorder="1" applyAlignment="1">
      <alignment horizontal="center" vertical="center"/>
    </xf>
    <xf numFmtId="164" fontId="3" fillId="6" borderId="1" xfId="1" applyNumberFormat="1" applyFont="1" applyFill="1" applyBorder="1" applyAlignment="1">
      <alignment horizontal="center" vertical="center" readingOrder="2"/>
    </xf>
    <xf numFmtId="0" fontId="5" fillId="0" borderId="0" xfId="0" applyFont="1" applyAlignment="1">
      <alignment readingOrder="1"/>
    </xf>
    <xf numFmtId="0" fontId="3" fillId="0" borderId="0" xfId="0" applyFont="1" applyAlignment="1">
      <alignment readingOrder="1"/>
    </xf>
    <xf numFmtId="0" fontId="29" fillId="0" borderId="0" xfId="0" applyFont="1" applyAlignment="1">
      <alignment vertical="center" readingOrder="1"/>
    </xf>
    <xf numFmtId="0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readingOrder="1"/>
    </xf>
    <xf numFmtId="164" fontId="4" fillId="0" borderId="0" xfId="1" applyNumberFormat="1" applyFont="1" applyAlignment="1">
      <alignment vertical="center" readingOrder="1"/>
    </xf>
    <xf numFmtId="0" fontId="20" fillId="0" borderId="0" xfId="0" applyNumberFormat="1" applyFont="1" applyFill="1" applyBorder="1" applyAlignment="1">
      <alignment horizontal="right" vertical="center" wrapText="1" readingOrder="2"/>
    </xf>
    <xf numFmtId="0" fontId="20" fillId="0" borderId="0" xfId="0" applyNumberFormat="1" applyFont="1" applyFill="1" applyBorder="1" applyAlignment="1">
      <alignment horizontal="right" vertical="center" readingOrder="2"/>
    </xf>
    <xf numFmtId="0" fontId="20" fillId="0" borderId="0" xfId="0" applyNumberFormat="1" applyFont="1" applyFill="1" applyBorder="1" applyAlignment="1">
      <alignment vertical="center" wrapText="1" readingOrder="2"/>
    </xf>
    <xf numFmtId="43" fontId="3" fillId="0" borderId="0" xfId="0" applyNumberFormat="1" applyFont="1" applyBorder="1" applyAlignment="1">
      <alignment vertical="center" readingOrder="2"/>
    </xf>
    <xf numFmtId="0" fontId="3" fillId="0" borderId="0" xfId="0" applyFont="1" applyAlignment="1">
      <alignment vertical="center" readingOrder="2"/>
    </xf>
    <xf numFmtId="0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1" fontId="4" fillId="6" borderId="1" xfId="1" applyNumberFormat="1" applyFont="1" applyFill="1" applyBorder="1" applyAlignment="1">
      <alignment horizontal="center" vertical="center" wrapText="1" readingOrder="2"/>
    </xf>
    <xf numFmtId="0" fontId="7" fillId="0" borderId="1" xfId="0" applyFont="1" applyBorder="1" applyAlignment="1">
      <alignment vertical="top" wrapText="1"/>
    </xf>
    <xf numFmtId="0" fontId="3" fillId="8" borderId="1" xfId="0" applyFont="1" applyFill="1" applyBorder="1" applyAlignment="1">
      <alignment horizontal="center" vertical="center" readingOrder="1"/>
    </xf>
    <xf numFmtId="164" fontId="0" fillId="5" borderId="1" xfId="1" applyNumberFormat="1" applyFont="1" applyFill="1" applyBorder="1" applyAlignment="1">
      <alignment horizontal="center" vertical="center" readingOrder="1"/>
    </xf>
    <xf numFmtId="0" fontId="0" fillId="0" borderId="7" xfId="0" applyFont="1" applyFill="1" applyBorder="1" applyAlignment="1">
      <alignment horizontal="center" vertical="center" readingOrder="1"/>
    </xf>
    <xf numFmtId="0" fontId="0" fillId="0" borderId="0" xfId="0" applyFont="1" applyFill="1"/>
    <xf numFmtId="0" fontId="0" fillId="0" borderId="1" xfId="0" applyFont="1" applyFill="1" applyBorder="1" applyAlignment="1">
      <alignment horizontal="center" vertical="center" readingOrder="1"/>
    </xf>
    <xf numFmtId="0" fontId="0" fillId="5" borderId="0" xfId="0" applyFont="1" applyFill="1" applyAlignment="1">
      <alignment vertical="center" readingOrder="1"/>
    </xf>
    <xf numFmtId="0" fontId="0" fillId="0" borderId="1" xfId="0" applyFont="1" applyFill="1" applyBorder="1" applyAlignment="1">
      <alignment horizontal="center" vertical="center" readingOrder="2"/>
    </xf>
    <xf numFmtId="0" fontId="0" fillId="0" borderId="0" xfId="0" applyFont="1" applyAlignment="1">
      <alignment vertical="center"/>
    </xf>
    <xf numFmtId="0" fontId="0" fillId="0" borderId="0" xfId="0" applyAlignment="1">
      <alignment horizontal="right" readingOrder="1"/>
    </xf>
    <xf numFmtId="0" fontId="4" fillId="7" borderId="1" xfId="0" applyFont="1" applyFill="1" applyBorder="1" applyAlignment="1">
      <alignment horizontal="center" vertical="center" wrapText="1" readingOrder="1"/>
    </xf>
    <xf numFmtId="0" fontId="6" fillId="5" borderId="1" xfId="0" applyFont="1" applyFill="1" applyBorder="1" applyAlignment="1">
      <alignment horizontal="right" vertical="center" wrapText="1" readingOrder="2"/>
    </xf>
    <xf numFmtId="0" fontId="20" fillId="0" borderId="0" xfId="0" applyNumberFormat="1" applyFont="1" applyFill="1" applyBorder="1" applyAlignment="1">
      <alignment horizontal="right" readingOrder="2"/>
    </xf>
    <xf numFmtId="0" fontId="20" fillId="0" borderId="0" xfId="0" applyNumberFormat="1" applyFont="1" applyFill="1" applyBorder="1" applyAlignment="1">
      <alignment wrapText="1" readingOrder="2"/>
    </xf>
    <xf numFmtId="0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vertical="top"/>
    </xf>
    <xf numFmtId="0" fontId="3" fillId="0" borderId="0" xfId="0" applyNumberFormat="1" applyFont="1" applyAlignment="1">
      <alignment vertical="top" wrapText="1"/>
    </xf>
    <xf numFmtId="0" fontId="7" fillId="0" borderId="0" xfId="0" applyFont="1" applyAlignment="1">
      <alignment horizontal="right" readingOrder="1"/>
    </xf>
    <xf numFmtId="164" fontId="7" fillId="6" borderId="1" xfId="1" applyNumberFormat="1" applyFont="1" applyFill="1" applyBorder="1" applyAlignment="1">
      <alignment horizontal="right" readingOrder="1"/>
    </xf>
    <xf numFmtId="164" fontId="1" fillId="5" borderId="1" xfId="1" applyNumberFormat="1" applyFont="1" applyFill="1" applyBorder="1" applyAlignment="1">
      <alignment horizontal="right" vertical="center" readingOrder="1"/>
    </xf>
    <xf numFmtId="164" fontId="7" fillId="6" borderId="1" xfId="1" applyNumberFormat="1" applyFont="1" applyFill="1" applyBorder="1" applyAlignment="1">
      <alignment horizontal="right" vertical="center" readingOrder="1"/>
    </xf>
    <xf numFmtId="0" fontId="7" fillId="5" borderId="0" xfId="0" applyFont="1" applyFill="1" applyAlignment="1">
      <alignment horizontal="right" readingOrder="1"/>
    </xf>
    <xf numFmtId="0" fontId="4" fillId="5" borderId="0" xfId="0" applyFont="1" applyFill="1" applyAlignment="1">
      <alignment horizontal="right" readingOrder="1"/>
    </xf>
    <xf numFmtId="0" fontId="7" fillId="0" borderId="0" xfId="0" applyFont="1" applyAlignment="1">
      <alignment horizontal="right" vertical="center"/>
    </xf>
    <xf numFmtId="164" fontId="7" fillId="6" borderId="1" xfId="0" applyNumberFormat="1" applyFont="1" applyFill="1" applyBorder="1" applyAlignment="1">
      <alignment horizontal="right" vertical="center"/>
    </xf>
    <xf numFmtId="0" fontId="7" fillId="6" borderId="0" xfId="0" applyFont="1" applyFill="1" applyAlignment="1">
      <alignment horizontal="right" readingOrder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164" fontId="1" fillId="0" borderId="1" xfId="1" applyNumberFormat="1" applyFont="1" applyBorder="1" applyAlignment="1">
      <alignment horizontal="right" vertical="center" readingOrder="1"/>
    </xf>
    <xf numFmtId="164" fontId="1" fillId="0" borderId="1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164" fontId="1" fillId="0" borderId="1" xfId="1" applyNumberFormat="1" applyFont="1" applyFill="1" applyBorder="1" applyAlignment="1">
      <alignment horizontal="right" vertical="center" readingOrder="1"/>
    </xf>
    <xf numFmtId="164" fontId="1" fillId="0" borderId="1" xfId="1" applyNumberFormat="1" applyFont="1" applyFill="1" applyBorder="1" applyAlignment="1">
      <alignment horizontal="right"/>
    </xf>
    <xf numFmtId="164" fontId="1" fillId="0" borderId="0" xfId="1" applyNumberFormat="1" applyFont="1" applyFill="1" applyAlignment="1">
      <alignment horizontal="right"/>
    </xf>
    <xf numFmtId="164" fontId="1" fillId="5" borderId="0" xfId="1" applyNumberFormat="1" applyFont="1" applyFill="1" applyAlignment="1">
      <alignment horizontal="center" vertical="center" readingOrder="1"/>
    </xf>
    <xf numFmtId="164" fontId="1" fillId="0" borderId="0" xfId="1" applyNumberFormat="1" applyFont="1" applyAlignment="1">
      <alignment horizontal="right" vertical="center" readingOrder="1"/>
    </xf>
    <xf numFmtId="0" fontId="1" fillId="5" borderId="1" xfId="1" applyNumberFormat="1" applyFont="1" applyFill="1" applyBorder="1" applyAlignment="1">
      <alignment horizontal="center" wrapText="1" readingOrder="1"/>
    </xf>
    <xf numFmtId="0" fontId="1" fillId="0" borderId="1" xfId="1" applyNumberFormat="1" applyFont="1" applyFill="1" applyBorder="1" applyAlignment="1">
      <alignment horizontal="center" vertical="center" readingOrder="1"/>
    </xf>
    <xf numFmtId="0" fontId="1" fillId="0" borderId="1" xfId="1" applyNumberFormat="1" applyFont="1" applyBorder="1" applyAlignment="1">
      <alignment horizontal="right" vertical="center" readingOrder="2"/>
    </xf>
    <xf numFmtId="0" fontId="1" fillId="0" borderId="1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right" vertical="center"/>
    </xf>
    <xf numFmtId="0" fontId="1" fillId="0" borderId="1" xfId="1" applyNumberFormat="1" applyFont="1" applyFill="1" applyBorder="1" applyAlignment="1">
      <alignment horizontal="center" vertical="center" readingOrder="2"/>
    </xf>
    <xf numFmtId="164" fontId="1" fillId="0" borderId="0" xfId="1" applyNumberFormat="1" applyFont="1" applyAlignment="1">
      <alignment horizontal="right" readingOrder="1"/>
    </xf>
    <xf numFmtId="0" fontId="0" fillId="0" borderId="0" xfId="0" applyAlignment="1">
      <alignment horizontal="right" vertical="center" readingOrder="1"/>
    </xf>
    <xf numFmtId="164" fontId="21" fillId="5" borderId="1" xfId="1" applyNumberFormat="1" applyFont="1" applyFill="1" applyBorder="1" applyAlignment="1">
      <alignment horizontal="center" vertical="center" readingOrder="1"/>
    </xf>
    <xf numFmtId="0" fontId="7" fillId="0" borderId="0" xfId="0" applyFont="1" applyAlignment="1">
      <alignment horizontal="right" vertical="center" readingOrder="1"/>
    </xf>
    <xf numFmtId="0" fontId="29" fillId="3" borderId="1" xfId="0" applyFont="1" applyFill="1" applyBorder="1" applyAlignment="1">
      <alignment horizontal="right" vertical="center" wrapText="1" readingOrder="1"/>
    </xf>
    <xf numFmtId="0" fontId="29" fillId="3" borderId="1" xfId="0" applyFont="1" applyFill="1" applyBorder="1" applyAlignment="1">
      <alignment horizontal="center" vertical="center" wrapText="1" readingOrder="1"/>
    </xf>
    <xf numFmtId="0" fontId="22" fillId="6" borderId="1" xfId="0" applyFont="1" applyFill="1" applyBorder="1" applyAlignment="1">
      <alignment horizontal="center" vertical="center" readingOrder="1"/>
    </xf>
    <xf numFmtId="0" fontId="21" fillId="5" borderId="1" xfId="1" applyNumberFormat="1" applyFont="1" applyFill="1" applyBorder="1" applyAlignment="1">
      <alignment horizontal="center" vertical="center" readingOrder="1"/>
    </xf>
    <xf numFmtId="0" fontId="21" fillId="5" borderId="1" xfId="0" applyFont="1" applyFill="1" applyBorder="1" applyAlignment="1">
      <alignment horizontal="center" vertical="center" readingOrder="1"/>
    </xf>
    <xf numFmtId="0" fontId="0" fillId="0" borderId="0" xfId="0" applyAlignment="1">
      <alignment horizontal="center" vertical="center" readingOrder="1"/>
    </xf>
    <xf numFmtId="164" fontId="1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right" vertical="center" readingOrder="2"/>
    </xf>
    <xf numFmtId="164" fontId="0" fillId="0" borderId="1" xfId="0" applyNumberFormat="1" applyFont="1" applyFill="1" applyBorder="1" applyAlignment="1">
      <alignment horizontal="right" vertical="center"/>
    </xf>
    <xf numFmtId="43" fontId="0" fillId="0" borderId="1" xfId="0" applyNumberFormat="1" applyFont="1" applyFill="1" applyBorder="1" applyAlignment="1">
      <alignment horizontal="right" vertical="center"/>
    </xf>
    <xf numFmtId="164" fontId="0" fillId="0" borderId="1" xfId="1" applyNumberFormat="1" applyFont="1" applyFill="1" applyBorder="1" applyAlignment="1">
      <alignment horizontal="right" vertical="center"/>
    </xf>
    <xf numFmtId="43" fontId="1" fillId="6" borderId="1" xfId="1" applyNumberFormat="1" applyFont="1" applyFill="1" applyBorder="1" applyAlignment="1">
      <alignment horizontal="right" vertical="center" readingOrder="2"/>
    </xf>
    <xf numFmtId="43" fontId="0" fillId="6" borderId="1" xfId="0" applyNumberFormat="1" applyFont="1" applyFill="1" applyBorder="1" applyAlignment="1">
      <alignment horizontal="right" vertical="center"/>
    </xf>
    <xf numFmtId="43" fontId="7" fillId="6" borderId="1" xfId="1" applyFont="1" applyFill="1" applyBorder="1" applyAlignment="1">
      <alignment horizontal="right" vertical="center" readingOrder="2"/>
    </xf>
    <xf numFmtId="43" fontId="7" fillId="0" borderId="0" xfId="1" applyFont="1" applyAlignment="1">
      <alignment horizontal="right" vertical="center"/>
    </xf>
    <xf numFmtId="43" fontId="1" fillId="0" borderId="1" xfId="1" applyNumberFormat="1" applyFont="1" applyBorder="1" applyAlignment="1">
      <alignment horizontal="right" vertical="center" readingOrder="1"/>
    </xf>
    <xf numFmtId="164" fontId="1" fillId="6" borderId="1" xfId="1" applyNumberFormat="1" applyFont="1" applyFill="1" applyBorder="1" applyAlignment="1">
      <alignment horizontal="right" vertical="center" readingOrder="1"/>
    </xf>
    <xf numFmtId="0" fontId="33" fillId="0" borderId="0" xfId="0" applyFont="1" applyFill="1" applyBorder="1" applyAlignment="1">
      <alignment horizontal="right" vertical="center" readingOrder="1"/>
    </xf>
    <xf numFmtId="0" fontId="5" fillId="0" borderId="0" xfId="0" applyFont="1" applyFill="1" applyBorder="1" applyAlignment="1">
      <alignment horizontal="center" vertical="center" readingOrder="1"/>
    </xf>
    <xf numFmtId="0" fontId="32" fillId="0" borderId="0" xfId="0" applyFont="1" applyFill="1" applyBorder="1" applyAlignment="1">
      <alignment horizontal="right" vertical="center" readingOrder="1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readingOrder="2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4" fillId="4" borderId="1" xfId="0" applyFont="1" applyFill="1" applyBorder="1" applyAlignment="1">
      <alignment horizontal="center" vertical="center" wrapText="1" readingOrder="2"/>
    </xf>
    <xf numFmtId="164" fontId="3" fillId="4" borderId="1" xfId="1" applyNumberFormat="1" applyFont="1" applyFill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readingOrder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165" fontId="36" fillId="0" borderId="1" xfId="1" applyNumberFormat="1" applyFont="1" applyFill="1" applyBorder="1" applyAlignment="1">
      <alignment horizontal="right" vertical="center" wrapText="1"/>
    </xf>
    <xf numFmtId="165" fontId="36" fillId="5" borderId="7" xfId="1" applyNumberFormat="1" applyFont="1" applyFill="1" applyBorder="1" applyAlignment="1">
      <alignment horizontal="center" vertical="center" wrapText="1"/>
    </xf>
    <xf numFmtId="165" fontId="36" fillId="0" borderId="8" xfId="1" applyNumberFormat="1" applyFont="1" applyFill="1" applyBorder="1" applyAlignment="1">
      <alignment horizontal="right" vertical="center" wrapText="1"/>
    </xf>
    <xf numFmtId="165" fontId="35" fillId="23" borderId="1" xfId="1" applyNumberFormat="1" applyFont="1" applyFill="1" applyBorder="1" applyAlignment="1">
      <alignment vertical="center" wrapText="1"/>
    </xf>
    <xf numFmtId="165" fontId="35" fillId="23" borderId="1" xfId="1" applyNumberFormat="1" applyFont="1" applyFill="1" applyBorder="1" applyAlignment="1">
      <alignment horizontal="center" vertical="center" wrapText="1"/>
    </xf>
    <xf numFmtId="165" fontId="35" fillId="23" borderId="8" xfId="1" applyNumberFormat="1" applyFont="1" applyFill="1" applyBorder="1" applyAlignment="1">
      <alignment vertical="center" wrapText="1"/>
    </xf>
    <xf numFmtId="165" fontId="0" fillId="5" borderId="8" xfId="1" applyNumberFormat="1" applyFont="1" applyFill="1" applyBorder="1" applyAlignment="1">
      <alignment vertical="center" wrapText="1"/>
    </xf>
    <xf numFmtId="165" fontId="0" fillId="0" borderId="8" xfId="1" applyNumberFormat="1" applyFont="1" applyBorder="1" applyAlignment="1">
      <alignment vertical="center" wrapText="1"/>
    </xf>
    <xf numFmtId="165" fontId="36" fillId="0" borderId="1" xfId="1" applyNumberFormat="1" applyFont="1" applyFill="1" applyBorder="1" applyAlignment="1">
      <alignment horizontal="center" vertical="center" wrapText="1"/>
    </xf>
    <xf numFmtId="165" fontId="35" fillId="5" borderId="8" xfId="1" applyNumberFormat="1" applyFont="1" applyFill="1" applyBorder="1" applyAlignment="1">
      <alignment horizontal="right" vertical="center" wrapText="1"/>
    </xf>
    <xf numFmtId="165" fontId="36" fillId="5" borderId="1" xfId="1" applyNumberFormat="1" applyFont="1" applyFill="1" applyBorder="1" applyAlignment="1">
      <alignment horizontal="right" vertical="center" wrapText="1"/>
    </xf>
    <xf numFmtId="165" fontId="24" fillId="23" borderId="1" xfId="1" applyNumberFormat="1" applyFont="1" applyFill="1" applyBorder="1" applyAlignment="1">
      <alignment vertical="center" wrapText="1"/>
    </xf>
    <xf numFmtId="165" fontId="24" fillId="23" borderId="1" xfId="1" applyNumberFormat="1" applyFont="1" applyFill="1" applyBorder="1" applyAlignment="1">
      <alignment horizontal="center" vertical="center" wrapText="1"/>
    </xf>
    <xf numFmtId="165" fontId="24" fillId="23" borderId="8" xfId="1" applyNumberFormat="1" applyFont="1" applyFill="1" applyBorder="1" applyAlignment="1">
      <alignment vertical="center" wrapText="1"/>
    </xf>
    <xf numFmtId="165" fontId="24" fillId="6" borderId="26" xfId="1" applyNumberFormat="1" applyFont="1" applyFill="1" applyBorder="1" applyAlignment="1">
      <alignment vertical="center" wrapText="1"/>
    </xf>
    <xf numFmtId="165" fontId="24" fillId="6" borderId="26" xfId="1" applyNumberFormat="1" applyFont="1" applyFill="1" applyBorder="1" applyAlignment="1">
      <alignment horizontal="center" vertical="center" wrapText="1"/>
    </xf>
    <xf numFmtId="165" fontId="24" fillId="6" borderId="27" xfId="1" applyNumberFormat="1" applyFont="1" applyFill="1" applyBorder="1" applyAlignment="1">
      <alignment vertical="center" wrapText="1"/>
    </xf>
    <xf numFmtId="165" fontId="0" fillId="5" borderId="1" xfId="1" applyNumberFormat="1" applyFont="1" applyFill="1" applyBorder="1" applyAlignment="1">
      <alignment horizontal="right" vertical="center" wrapText="1" readingOrder="2"/>
    </xf>
    <xf numFmtId="165" fontId="36" fillId="0" borderId="1" xfId="1" applyNumberFormat="1" applyFont="1" applyBorder="1" applyAlignment="1">
      <alignment horizontal="right" vertical="center" wrapText="1" readingOrder="2"/>
    </xf>
    <xf numFmtId="165" fontId="36" fillId="5" borderId="1" xfId="1" applyNumberFormat="1" applyFont="1" applyFill="1" applyBorder="1" applyAlignment="1">
      <alignment horizontal="right" vertical="center" wrapText="1" readingOrder="2"/>
    </xf>
    <xf numFmtId="0" fontId="37" fillId="10" borderId="1" xfId="0" applyFont="1" applyFill="1" applyBorder="1" applyAlignment="1">
      <alignment horizontal="center" vertical="center" wrapText="1" readingOrder="2"/>
    </xf>
    <xf numFmtId="0" fontId="37" fillId="10" borderId="1" xfId="0" applyNumberFormat="1" applyFont="1" applyFill="1" applyBorder="1" applyAlignment="1">
      <alignment horizontal="center" vertical="center" wrapText="1" readingOrder="2"/>
    </xf>
    <xf numFmtId="165" fontId="0" fillId="5" borderId="1" xfId="1" applyNumberFormat="1" applyFont="1" applyFill="1" applyBorder="1" applyAlignment="1">
      <alignment horizontal="center" vertical="center" wrapText="1" readingOrder="2"/>
    </xf>
    <xf numFmtId="165" fontId="36" fillId="0" borderId="1" xfId="1" applyNumberFormat="1" applyFont="1" applyBorder="1" applyAlignment="1">
      <alignment horizontal="center" vertical="center" wrapText="1" readingOrder="2"/>
    </xf>
    <xf numFmtId="165" fontId="36" fillId="5" borderId="1" xfId="1" applyNumberFormat="1" applyFont="1" applyFill="1" applyBorder="1" applyAlignment="1">
      <alignment horizontal="center" vertical="center" wrapText="1" readingOrder="2"/>
    </xf>
    <xf numFmtId="0" fontId="37" fillId="10" borderId="8" xfId="0" applyFont="1" applyFill="1" applyBorder="1" applyAlignment="1">
      <alignment horizontal="center" vertical="center" readingOrder="2"/>
    </xf>
    <xf numFmtId="43" fontId="7" fillId="0" borderId="1" xfId="1" applyFont="1" applyFill="1" applyBorder="1" applyAlignment="1">
      <alignment horizontal="center" vertical="center"/>
    </xf>
    <xf numFmtId="43" fontId="3" fillId="8" borderId="1" xfId="1" applyFont="1" applyFill="1" applyBorder="1" applyAlignment="1">
      <alignment horizontal="center" vertical="center" readingOrder="2"/>
    </xf>
    <xf numFmtId="0" fontId="7" fillId="0" borderId="1" xfId="0" applyFont="1" applyBorder="1" applyAlignment="1">
      <alignment horizontal="center" vertical="center" readingOrder="1"/>
    </xf>
    <xf numFmtId="43" fontId="1" fillId="6" borderId="1" xfId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 readingOrder="2"/>
    </xf>
    <xf numFmtId="164" fontId="3" fillId="6" borderId="2" xfId="1" applyNumberFormat="1" applyFont="1" applyFill="1" applyBorder="1" applyAlignment="1">
      <alignment horizontal="center" vertical="center" readingOrder="2"/>
    </xf>
    <xf numFmtId="164" fontId="3" fillId="6" borderId="1" xfId="1" applyNumberFormat="1" applyFont="1" applyFill="1" applyBorder="1" applyAlignment="1">
      <alignment horizontal="center" vertical="center" readingOrder="2"/>
    </xf>
    <xf numFmtId="165" fontId="7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 readingOrder="2"/>
    </xf>
    <xf numFmtId="170" fontId="7" fillId="0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readingOrder="2"/>
    </xf>
    <xf numFmtId="0" fontId="7" fillId="0" borderId="3" xfId="0" applyFont="1" applyBorder="1" applyAlignment="1">
      <alignment vertical="center" wrapText="1" readingOrder="2"/>
    </xf>
    <xf numFmtId="164" fontId="7" fillId="0" borderId="3" xfId="1" applyNumberFormat="1" applyFont="1" applyBorder="1" applyAlignment="1">
      <alignment horizontal="right" vertical="center"/>
    </xf>
    <xf numFmtId="0" fontId="7" fillId="0" borderId="1" xfId="1" applyNumberFormat="1" applyFont="1" applyFill="1" applyBorder="1" applyAlignment="1">
      <alignment horizontal="right" vertical="center" wrapText="1"/>
    </xf>
    <xf numFmtId="1" fontId="19" fillId="6" borderId="1" xfId="1" applyNumberFormat="1" applyFont="1" applyFill="1" applyBorder="1" applyAlignment="1">
      <alignment horizontal="center" vertical="center" wrapText="1" readingOrder="2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 readingOrder="2"/>
    </xf>
    <xf numFmtId="166" fontId="4" fillId="6" borderId="2" xfId="1" applyNumberFormat="1" applyFont="1" applyFill="1" applyBorder="1" applyAlignment="1">
      <alignment horizontal="center" vertical="center" wrapText="1" readingOrder="2"/>
    </xf>
    <xf numFmtId="166" fontId="19" fillId="6" borderId="2" xfId="1" applyNumberFormat="1" applyFont="1" applyFill="1" applyBorder="1" applyAlignment="1">
      <alignment horizontal="center" vertical="center" wrapText="1" readingOrder="2"/>
    </xf>
    <xf numFmtId="2" fontId="19" fillId="6" borderId="2" xfId="1" applyNumberFormat="1" applyFont="1" applyFill="1" applyBorder="1" applyAlignment="1">
      <alignment horizontal="center" vertical="center" wrapText="1" readingOrder="2"/>
    </xf>
    <xf numFmtId="164" fontId="10" fillId="15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3" fontId="38" fillId="4" borderId="1" xfId="0" applyNumberFormat="1" applyFont="1" applyFill="1" applyBorder="1" applyAlignment="1">
      <alignment horizontal="center" vertical="center" readingOrder="1"/>
    </xf>
    <xf numFmtId="3" fontId="29" fillId="21" borderId="1" xfId="0" applyNumberFormat="1" applyFont="1" applyFill="1" applyBorder="1" applyAlignment="1">
      <alignment horizontal="center" vertical="center" readingOrder="1"/>
    </xf>
    <xf numFmtId="164" fontId="12" fillId="6" borderId="1" xfId="1" applyNumberFormat="1" applyFont="1" applyFill="1" applyBorder="1" applyAlignment="1">
      <alignment horizontal="right" vertical="center" readingOrder="2"/>
    </xf>
    <xf numFmtId="164" fontId="38" fillId="6" borderId="1" xfId="0" applyNumberFormat="1" applyFont="1" applyFill="1" applyBorder="1" applyAlignment="1">
      <alignment horizontal="right" vertical="center" wrapText="1" readingOrder="1"/>
    </xf>
    <xf numFmtId="164" fontId="3" fillId="16" borderId="1" xfId="1" applyNumberFormat="1" applyFont="1" applyFill="1" applyBorder="1" applyAlignment="1">
      <alignment horizontal="center" vertical="center" readingOrder="2"/>
    </xf>
    <xf numFmtId="0" fontId="6" fillId="5" borderId="1" xfId="0" applyFont="1" applyFill="1" applyBorder="1" applyAlignment="1">
      <alignment horizontal="right" vertical="center" wrapText="1" readingOrder="2"/>
    </xf>
    <xf numFmtId="43" fontId="15" fillId="0" borderId="0" xfId="0" applyNumberFormat="1" applyFont="1" applyAlignment="1">
      <alignment horizontal="center" vertical="center"/>
    </xf>
    <xf numFmtId="43" fontId="4" fillId="6" borderId="2" xfId="1" applyFont="1" applyFill="1" applyBorder="1" applyAlignment="1">
      <alignment horizontal="center" vertical="center" wrapText="1" readingOrder="2"/>
    </xf>
    <xf numFmtId="43" fontId="4" fillId="6" borderId="1" xfId="1" applyFont="1" applyFill="1" applyBorder="1" applyAlignment="1">
      <alignment horizontal="center" vertical="center" wrapText="1" readingOrder="2"/>
    </xf>
    <xf numFmtId="164" fontId="3" fillId="0" borderId="0" xfId="0" applyNumberFormat="1" applyFont="1" applyBorder="1" applyAlignment="1">
      <alignment vertical="center" readingOrder="1"/>
    </xf>
    <xf numFmtId="0" fontId="13" fillId="0" borderId="1" xfId="0" applyFont="1" applyFill="1" applyBorder="1" applyAlignment="1">
      <alignment horizontal="center" vertical="center" wrapText="1" readingOrder="1"/>
    </xf>
    <xf numFmtId="164" fontId="7" fillId="0" borderId="1" xfId="1" applyNumberFormat="1" applyFont="1" applyBorder="1" applyAlignment="1">
      <alignment vertical="center" wrapText="1" readingOrder="1"/>
    </xf>
    <xf numFmtId="164" fontId="0" fillId="0" borderId="0" xfId="0" applyNumberFormat="1" applyAlignment="1">
      <alignment vertical="center"/>
    </xf>
    <xf numFmtId="0" fontId="4" fillId="4" borderId="1" xfId="0" applyFont="1" applyFill="1" applyBorder="1" applyAlignment="1">
      <alignment horizontal="center" vertical="center" wrapText="1" readingOrder="2"/>
    </xf>
    <xf numFmtId="164" fontId="3" fillId="4" borderId="1" xfId="1" applyNumberFormat="1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left" vertical="center" wrapText="1" readingOrder="1"/>
    </xf>
    <xf numFmtId="0" fontId="0" fillId="0" borderId="0" xfId="0" applyAlignment="1">
      <alignment horizontal="left" wrapText="1" readingOrder="1"/>
    </xf>
    <xf numFmtId="0" fontId="5" fillId="0" borderId="0" xfId="0" applyFont="1" applyFill="1" applyBorder="1" applyAlignment="1">
      <alignment horizontal="left" vertical="center" readingOrder="1"/>
    </xf>
    <xf numFmtId="164" fontId="7" fillId="6" borderId="1" xfId="1" applyNumberFormat="1" applyFont="1" applyFill="1" applyBorder="1" applyAlignment="1">
      <alignment horizontal="left" vertical="center" readingOrder="1"/>
    </xf>
    <xf numFmtId="164" fontId="1" fillId="5" borderId="1" xfId="1" applyNumberFormat="1" applyFont="1" applyFill="1" applyBorder="1" applyAlignment="1">
      <alignment horizontal="left" vertical="center" readingOrder="1"/>
    </xf>
    <xf numFmtId="164" fontId="4" fillId="6" borderId="1" xfId="1" applyNumberFormat="1" applyFont="1" applyFill="1" applyBorder="1" applyAlignment="1">
      <alignment horizontal="left" vertical="center" readingOrder="1"/>
    </xf>
    <xf numFmtId="164" fontId="24" fillId="6" borderId="1" xfId="1" applyNumberFormat="1" applyFont="1" applyFill="1" applyBorder="1" applyAlignment="1">
      <alignment horizontal="left" vertical="center" readingOrder="2"/>
    </xf>
    <xf numFmtId="0" fontId="1" fillId="0" borderId="1" xfId="1" applyNumberFormat="1" applyFont="1" applyBorder="1" applyAlignment="1">
      <alignment horizontal="left" vertical="center" readingOrder="2"/>
    </xf>
    <xf numFmtId="165" fontId="7" fillId="6" borderId="1" xfId="1" applyNumberFormat="1" applyFont="1" applyFill="1" applyBorder="1" applyAlignment="1">
      <alignment horizontal="left" vertical="center" readingOrder="2"/>
    </xf>
    <xf numFmtId="164" fontId="0" fillId="0" borderId="1" xfId="1" applyNumberFormat="1" applyFont="1" applyBorder="1" applyAlignment="1">
      <alignment horizontal="left" vertical="center" readingOrder="2"/>
    </xf>
    <xf numFmtId="43" fontId="7" fillId="6" borderId="1" xfId="1" applyNumberFormat="1" applyFont="1" applyFill="1" applyBorder="1" applyAlignment="1">
      <alignment horizontal="left" vertical="center" readingOrder="2"/>
    </xf>
    <xf numFmtId="164" fontId="1" fillId="0" borderId="1" xfId="1" applyNumberFormat="1" applyFont="1" applyFill="1" applyBorder="1" applyAlignment="1">
      <alignment horizontal="left" vertical="center" readingOrder="1"/>
    </xf>
    <xf numFmtId="164" fontId="12" fillId="6" borderId="1" xfId="1" applyNumberFormat="1" applyFont="1" applyFill="1" applyBorder="1" applyAlignment="1">
      <alignment horizontal="left" vertical="center" readingOrder="2"/>
    </xf>
    <xf numFmtId="3" fontId="29" fillId="4" borderId="1" xfId="0" applyNumberFormat="1" applyFont="1" applyFill="1" applyBorder="1" applyAlignment="1">
      <alignment horizontal="left" vertical="center" readingOrder="1"/>
    </xf>
    <xf numFmtId="3" fontId="29" fillId="21" borderId="1" xfId="0" applyNumberFormat="1" applyFont="1" applyFill="1" applyBorder="1" applyAlignment="1">
      <alignment horizontal="left" vertical="center" readingOrder="1"/>
    </xf>
    <xf numFmtId="0" fontId="3" fillId="0" borderId="0" xfId="0" applyNumberFormat="1" applyFont="1" applyAlignment="1">
      <alignment horizontal="left"/>
    </xf>
    <xf numFmtId="164" fontId="17" fillId="0" borderId="0" xfId="1" applyNumberFormat="1" applyFont="1" applyAlignment="1">
      <alignment horizontal="left" vertical="center" readingOrder="1"/>
    </xf>
    <xf numFmtId="0" fontId="20" fillId="0" borderId="0" xfId="0" applyNumberFormat="1" applyFont="1" applyFill="1" applyBorder="1" applyAlignment="1">
      <alignment vertical="center"/>
    </xf>
    <xf numFmtId="0" fontId="20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0" fillId="0" borderId="0" xfId="0" applyNumberFormat="1" applyFont="1" applyFill="1" applyBorder="1" applyAlignment="1">
      <alignment horizontal="right" vertical="center"/>
    </xf>
    <xf numFmtId="0" fontId="12" fillId="0" borderId="0" xfId="0" applyFont="1" applyBorder="1" applyAlignment="1"/>
    <xf numFmtId="0" fontId="12" fillId="0" borderId="0" xfId="0" applyFont="1" applyAlignment="1"/>
    <xf numFmtId="164" fontId="0" fillId="0" borderId="0" xfId="1" applyNumberFormat="1" applyFont="1" applyAlignment="1"/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20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/>
    <xf numFmtId="164" fontId="4" fillId="0" borderId="0" xfId="1" applyNumberFormat="1" applyFont="1" applyAlignment="1"/>
    <xf numFmtId="0" fontId="12" fillId="0" borderId="0" xfId="0" applyFont="1" applyAlignment="1">
      <alignment horizontal="right"/>
    </xf>
    <xf numFmtId="0" fontId="16" fillId="0" borderId="0" xfId="0" applyFont="1" applyAlignment="1">
      <alignment vertical="top" wrapText="1"/>
    </xf>
    <xf numFmtId="164" fontId="0" fillId="0" borderId="0" xfId="1" applyNumberFormat="1" applyFont="1" applyAlignment="1">
      <alignment vertical="top"/>
    </xf>
    <xf numFmtId="164" fontId="0" fillId="0" borderId="0" xfId="1" applyNumberFormat="1" applyFont="1" applyAlignment="1">
      <alignment horizontal="right" vertical="top"/>
    </xf>
    <xf numFmtId="0" fontId="0" fillId="0" borderId="0" xfId="0" applyAlignment="1">
      <alignment horizontal="right" vertical="top"/>
    </xf>
    <xf numFmtId="0" fontId="3" fillId="0" borderId="0" xfId="0" applyFont="1" applyBorder="1" applyAlignment="1">
      <alignment horizontal="center"/>
    </xf>
    <xf numFmtId="0" fontId="39" fillId="3" borderId="1" xfId="0" applyFont="1" applyFill="1" applyBorder="1" applyAlignment="1">
      <alignment horizontal="center" vertical="center" wrapText="1" readingOrder="1"/>
    </xf>
    <xf numFmtId="0" fontId="39" fillId="3" borderId="1" xfId="0" applyFont="1" applyFill="1" applyBorder="1" applyAlignment="1">
      <alignment horizontal="left" vertical="center" wrapText="1" readingOrder="1"/>
    </xf>
    <xf numFmtId="0" fontId="4" fillId="6" borderId="1" xfId="0" applyFont="1" applyFill="1" applyBorder="1" applyAlignment="1">
      <alignment horizontal="left" vertical="center" readingOrder="1"/>
    </xf>
    <xf numFmtId="164" fontId="0" fillId="0" borderId="1" xfId="1" applyNumberFormat="1" applyFont="1" applyFill="1" applyBorder="1" applyAlignment="1">
      <alignment horizontal="left" vertical="center" wrapText="1" readingOrder="1"/>
    </xf>
    <xf numFmtId="164" fontId="0" fillId="5" borderId="1" xfId="1" applyNumberFormat="1" applyFont="1" applyFill="1" applyBorder="1" applyAlignment="1">
      <alignment horizontal="left" vertical="center" wrapText="1" readingOrder="1"/>
    </xf>
    <xf numFmtId="0" fontId="13" fillId="0" borderId="1" xfId="1" applyNumberFormat="1" applyFont="1" applyFill="1" applyBorder="1" applyAlignment="1">
      <alignment horizontal="left" vertical="center" wrapText="1" readingOrder="1"/>
    </xf>
    <xf numFmtId="0" fontId="13" fillId="0" borderId="1" xfId="1" applyNumberFormat="1" applyFont="1" applyFill="1" applyBorder="1" applyAlignment="1">
      <alignment horizontal="left" vertical="center" wrapText="1" readingOrder="2"/>
    </xf>
    <xf numFmtId="0" fontId="13" fillId="0" borderId="1" xfId="0" applyFont="1" applyFill="1" applyBorder="1" applyAlignment="1">
      <alignment horizontal="left" vertical="center" wrapText="1" readingOrder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20" fillId="0" borderId="0" xfId="0" applyNumberFormat="1" applyFont="1" applyFill="1" applyBorder="1" applyAlignment="1">
      <alignment horizontal="left" vertical="center"/>
    </xf>
    <xf numFmtId="0" fontId="20" fillId="0" borderId="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0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2" fillId="0" borderId="1" xfId="0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left" vertical="center" readingOrder="1"/>
    </xf>
    <xf numFmtId="0" fontId="13" fillId="0" borderId="1" xfId="0" applyFont="1" applyFill="1" applyBorder="1" applyAlignment="1">
      <alignment horizontal="left" vertical="center" readingOrder="1"/>
    </xf>
    <xf numFmtId="43" fontId="13" fillId="0" borderId="1" xfId="0" applyNumberFormat="1" applyFont="1" applyFill="1" applyBorder="1" applyAlignment="1">
      <alignment horizontal="left" vertical="center" readingOrder="1"/>
    </xf>
    <xf numFmtId="0" fontId="3" fillId="0" borderId="0" xfId="0" applyFont="1" applyAlignment="1">
      <alignment horizontal="left" readingOrder="1"/>
    </xf>
    <xf numFmtId="0" fontId="3" fillId="0" borderId="0" xfId="0" applyFont="1" applyAlignment="1">
      <alignment horizontal="left" vertical="top" readingOrder="1"/>
    </xf>
    <xf numFmtId="0" fontId="0" fillId="0" borderId="0" xfId="0" applyAlignment="1">
      <alignment horizontal="left" readingOrder="1"/>
    </xf>
    <xf numFmtId="0" fontId="3" fillId="8" borderId="2" xfId="0" applyFont="1" applyFill="1" applyBorder="1" applyAlignment="1">
      <alignment horizontal="left" vertical="center" readingOrder="1"/>
    </xf>
    <xf numFmtId="0" fontId="4" fillId="8" borderId="1" xfId="0" applyFont="1" applyFill="1" applyBorder="1" applyAlignment="1">
      <alignment horizontal="left" vertical="center" wrapText="1" readingOrder="1"/>
    </xf>
    <xf numFmtId="164" fontId="4" fillId="8" borderId="1" xfId="1" applyNumberFormat="1" applyFont="1" applyFill="1" applyBorder="1" applyAlignment="1">
      <alignment horizontal="left" vertical="center" wrapText="1" readingOrder="1"/>
    </xf>
    <xf numFmtId="164" fontId="4" fillId="8" borderId="1" xfId="1" applyNumberFormat="1" applyFont="1" applyFill="1" applyBorder="1" applyAlignment="1">
      <alignment horizontal="left" vertical="center" readingOrder="1"/>
    </xf>
    <xf numFmtId="0" fontId="5" fillId="0" borderId="0" xfId="0" applyFont="1" applyAlignment="1">
      <alignment horizontal="left" readingOrder="1"/>
    </xf>
    <xf numFmtId="0" fontId="3" fillId="7" borderId="1" xfId="0" applyFont="1" applyFill="1" applyBorder="1" applyAlignment="1">
      <alignment horizontal="left" vertical="center" readingOrder="1"/>
    </xf>
    <xf numFmtId="164" fontId="3" fillId="7" borderId="1" xfId="1" applyNumberFormat="1" applyFont="1" applyFill="1" applyBorder="1" applyAlignment="1">
      <alignment horizontal="left" vertical="center" readingOrder="1"/>
    </xf>
    <xf numFmtId="0" fontId="0" fillId="5" borderId="1" xfId="0" applyFont="1" applyFill="1" applyBorder="1" applyAlignment="1">
      <alignment horizontal="left" vertical="center" readingOrder="1"/>
    </xf>
    <xf numFmtId="43" fontId="0" fillId="0" borderId="1" xfId="1" applyFont="1" applyFill="1" applyBorder="1" applyAlignment="1">
      <alignment horizontal="left" vertical="center" readingOrder="1"/>
    </xf>
    <xf numFmtId="1" fontId="0" fillId="0" borderId="1" xfId="1" applyNumberFormat="1" applyFont="1" applyBorder="1" applyAlignment="1">
      <alignment horizontal="left" vertical="center" readingOrder="1"/>
    </xf>
    <xf numFmtId="43" fontId="0" fillId="5" borderId="1" xfId="1" applyFont="1" applyFill="1" applyBorder="1" applyAlignment="1">
      <alignment horizontal="left" vertical="center" readingOrder="1"/>
    </xf>
    <xf numFmtId="164" fontId="0" fillId="5" borderId="1" xfId="1" applyNumberFormat="1" applyFont="1" applyFill="1" applyBorder="1" applyAlignment="1">
      <alignment horizontal="left" vertical="center" readingOrder="1"/>
    </xf>
    <xf numFmtId="43" fontId="0" fillId="0" borderId="1" xfId="1" applyNumberFormat="1" applyFont="1" applyFill="1" applyBorder="1" applyAlignment="1">
      <alignment horizontal="left" vertical="center" readingOrder="1"/>
    </xf>
    <xf numFmtId="0" fontId="0" fillId="5" borderId="0" xfId="0" applyFont="1" applyFill="1" applyAlignment="1">
      <alignment horizontal="left" vertical="center" readingOrder="1"/>
    </xf>
    <xf numFmtId="0" fontId="0" fillId="5" borderId="1" xfId="0" applyFill="1" applyBorder="1" applyAlignment="1">
      <alignment horizontal="left" vertical="center" readingOrder="1"/>
    </xf>
    <xf numFmtId="43" fontId="0" fillId="0" borderId="1" xfId="0" applyNumberFormat="1" applyFont="1" applyFill="1" applyBorder="1" applyAlignment="1">
      <alignment horizontal="left" vertical="center" readingOrder="1"/>
    </xf>
    <xf numFmtId="0" fontId="7" fillId="0" borderId="1" xfId="0" applyFont="1" applyFill="1" applyBorder="1" applyAlignment="1">
      <alignment horizontal="left" vertical="center" readingOrder="1"/>
    </xf>
    <xf numFmtId="0" fontId="7" fillId="0" borderId="1" xfId="1" applyNumberFormat="1" applyFont="1" applyFill="1" applyBorder="1" applyAlignment="1">
      <alignment horizontal="left" vertical="center" readingOrder="1"/>
    </xf>
    <xf numFmtId="164" fontId="7" fillId="0" borderId="1" xfId="1" applyNumberFormat="1" applyFont="1" applyFill="1" applyBorder="1" applyAlignment="1">
      <alignment horizontal="left" vertical="center" readingOrder="1"/>
    </xf>
    <xf numFmtId="164" fontId="0" fillId="0" borderId="1" xfId="1" applyNumberFormat="1" applyFont="1" applyFill="1" applyBorder="1" applyAlignment="1">
      <alignment horizontal="left" vertical="center" readingOrder="1"/>
    </xf>
    <xf numFmtId="164" fontId="7" fillId="0" borderId="1" xfId="1" applyNumberFormat="1" applyFont="1" applyFill="1" applyBorder="1" applyAlignment="1">
      <alignment horizontal="left" readingOrder="1"/>
    </xf>
    <xf numFmtId="0" fontId="7" fillId="0" borderId="0" xfId="0" applyFont="1" applyAlignment="1">
      <alignment horizontal="left" readingOrder="1"/>
    </xf>
    <xf numFmtId="164" fontId="3" fillId="8" borderId="1" xfId="1" applyNumberFormat="1" applyFont="1" applyFill="1" applyBorder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4" fillId="7" borderId="1" xfId="0" applyFont="1" applyFill="1" applyBorder="1" applyAlignment="1">
      <alignment horizontal="left" vertical="center" readingOrder="1"/>
    </xf>
    <xf numFmtId="0" fontId="7" fillId="5" borderId="1" xfId="0" applyFont="1" applyFill="1" applyBorder="1" applyAlignment="1">
      <alignment horizontal="left" vertical="center" readingOrder="1"/>
    </xf>
    <xf numFmtId="164" fontId="7" fillId="0" borderId="1" xfId="1" applyNumberFormat="1" applyFont="1" applyBorder="1" applyAlignment="1">
      <alignment horizontal="left" vertical="center" readingOrder="1"/>
    </xf>
    <xf numFmtId="164" fontId="7" fillId="5" borderId="1" xfId="1" applyNumberFormat="1" applyFont="1" applyFill="1" applyBorder="1" applyAlignment="1">
      <alignment horizontal="left" vertical="center" readingOrder="1"/>
    </xf>
    <xf numFmtId="43" fontId="7" fillId="5" borderId="1" xfId="1" applyNumberFormat="1" applyFont="1" applyFill="1" applyBorder="1" applyAlignment="1">
      <alignment horizontal="left" vertical="center" readingOrder="1"/>
    </xf>
    <xf numFmtId="0" fontId="0" fillId="0" borderId="1" xfId="0" applyFont="1" applyBorder="1" applyAlignment="1">
      <alignment horizontal="left" vertical="center" wrapText="1" readingOrder="1"/>
    </xf>
    <xf numFmtId="43" fontId="0" fillId="0" borderId="1" xfId="1" applyFont="1" applyBorder="1" applyAlignment="1">
      <alignment horizontal="left" vertical="center" readingOrder="1"/>
    </xf>
    <xf numFmtId="0" fontId="0" fillId="0" borderId="1" xfId="1" applyNumberFormat="1" applyFont="1" applyBorder="1" applyAlignment="1">
      <alignment horizontal="left" vertical="center" readingOrder="1"/>
    </xf>
    <xf numFmtId="164" fontId="0" fillId="0" borderId="1" xfId="1" applyNumberFormat="1" applyFont="1" applyBorder="1" applyAlignment="1">
      <alignment horizontal="left" vertical="center" readingOrder="1"/>
    </xf>
    <xf numFmtId="0" fontId="13" fillId="5" borderId="1" xfId="0" applyFont="1" applyFill="1" applyBorder="1" applyAlignment="1">
      <alignment horizontal="left" vertical="center" wrapText="1" readingOrder="1"/>
    </xf>
    <xf numFmtId="0" fontId="0" fillId="0" borderId="0" xfId="0" applyFont="1" applyAlignment="1">
      <alignment horizontal="left" readingOrder="1"/>
    </xf>
    <xf numFmtId="0" fontId="0" fillId="0" borderId="0" xfId="0" applyFont="1" applyFill="1" applyAlignment="1">
      <alignment horizontal="left" readingOrder="1"/>
    </xf>
    <xf numFmtId="0" fontId="5" fillId="6" borderId="1" xfId="0" applyFont="1" applyFill="1" applyBorder="1" applyAlignment="1">
      <alignment horizontal="left" vertical="center" readingOrder="1"/>
    </xf>
    <xf numFmtId="164" fontId="5" fillId="6" borderId="1" xfId="1" applyNumberFormat="1" applyFont="1" applyFill="1" applyBorder="1" applyAlignment="1">
      <alignment horizontal="left" vertical="center" readingOrder="1"/>
    </xf>
    <xf numFmtId="164" fontId="3" fillId="6" borderId="1" xfId="1" applyNumberFormat="1" applyFont="1" applyFill="1" applyBorder="1" applyAlignment="1">
      <alignment horizontal="left" vertical="center" readingOrder="1"/>
    </xf>
    <xf numFmtId="0" fontId="0" fillId="0" borderId="3" xfId="0" applyFont="1" applyFill="1" applyBorder="1" applyAlignment="1">
      <alignment horizontal="left" vertical="center" wrapText="1" readingOrder="1"/>
    </xf>
    <xf numFmtId="43" fontId="0" fillId="0" borderId="3" xfId="1" applyFont="1" applyFill="1" applyBorder="1" applyAlignment="1">
      <alignment horizontal="left" vertical="center" wrapText="1" readingOrder="1"/>
    </xf>
    <xf numFmtId="164" fontId="4" fillId="0" borderId="1" xfId="1" applyNumberFormat="1" applyFont="1" applyFill="1" applyBorder="1" applyAlignment="1">
      <alignment horizontal="left" vertical="center" readingOrder="1"/>
    </xf>
    <xf numFmtId="0" fontId="0" fillId="0" borderId="3" xfId="0" applyFill="1" applyBorder="1" applyAlignment="1">
      <alignment horizontal="left" vertical="center" wrapText="1" readingOrder="1"/>
    </xf>
    <xf numFmtId="0" fontId="0" fillId="0" borderId="0" xfId="0" applyFont="1" applyAlignment="1">
      <alignment horizontal="left" vertical="center" readingOrder="1"/>
    </xf>
    <xf numFmtId="0" fontId="7" fillId="5" borderId="2" xfId="0" applyFont="1" applyFill="1" applyBorder="1" applyAlignment="1">
      <alignment horizontal="left" vertical="center" wrapText="1" readingOrder="1"/>
    </xf>
    <xf numFmtId="0" fontId="0" fillId="0" borderId="1" xfId="1" applyNumberFormat="1" applyFont="1" applyFill="1" applyBorder="1" applyAlignment="1">
      <alignment horizontal="left" vertical="center" readingOrder="1"/>
    </xf>
    <xf numFmtId="43" fontId="7" fillId="0" borderId="1" xfId="1" applyFont="1" applyFill="1" applyBorder="1" applyAlignment="1">
      <alignment horizontal="left" vertical="center" readingOrder="1"/>
    </xf>
    <xf numFmtId="0" fontId="7" fillId="5" borderId="1" xfId="0" applyFont="1" applyFill="1" applyBorder="1" applyAlignment="1">
      <alignment horizontal="left" vertical="center" wrapText="1" readingOrder="1"/>
    </xf>
    <xf numFmtId="0" fontId="7" fillId="5" borderId="2" xfId="0" applyFont="1" applyFill="1" applyBorder="1" applyAlignment="1">
      <alignment horizontal="left" vertical="top" wrapText="1" readingOrder="1"/>
    </xf>
    <xf numFmtId="0" fontId="7" fillId="5" borderId="6" xfId="0" applyFont="1" applyFill="1" applyBorder="1" applyAlignment="1">
      <alignment horizontal="left" vertical="center" wrapText="1" readingOrder="1"/>
    </xf>
    <xf numFmtId="0" fontId="7" fillId="5" borderId="1" xfId="0" applyFont="1" applyFill="1" applyBorder="1" applyAlignment="1">
      <alignment horizontal="left" vertical="top" wrapText="1" readingOrder="1"/>
    </xf>
    <xf numFmtId="164" fontId="7" fillId="5" borderId="1" xfId="1" applyNumberFormat="1" applyFont="1" applyFill="1" applyBorder="1" applyAlignment="1">
      <alignment horizontal="left" readingOrder="1"/>
    </xf>
    <xf numFmtId="0" fontId="7" fillId="6" borderId="1" xfId="0" applyFont="1" applyFill="1" applyBorder="1" applyAlignment="1">
      <alignment horizontal="left" vertical="center" readingOrder="1"/>
    </xf>
    <xf numFmtId="0" fontId="7" fillId="6" borderId="1" xfId="1" applyNumberFormat="1" applyFont="1" applyFill="1" applyBorder="1" applyAlignment="1">
      <alignment horizontal="left" vertical="center" readingOrder="1"/>
    </xf>
    <xf numFmtId="164" fontId="12" fillId="6" borderId="1" xfId="1" applyNumberFormat="1" applyFont="1" applyFill="1" applyBorder="1" applyAlignment="1">
      <alignment horizontal="left" vertical="center" readingOrder="1"/>
    </xf>
    <xf numFmtId="164" fontId="7" fillId="6" borderId="1" xfId="1" applyNumberFormat="1" applyFont="1" applyFill="1" applyBorder="1" applyAlignment="1">
      <alignment horizontal="left" readingOrder="1"/>
    </xf>
    <xf numFmtId="0" fontId="4" fillId="4" borderId="1" xfId="0" applyFont="1" applyFill="1" applyBorder="1" applyAlignment="1">
      <alignment horizontal="left" vertical="center" readingOrder="1"/>
    </xf>
    <xf numFmtId="0" fontId="4" fillId="4" borderId="1" xfId="1" applyNumberFormat="1" applyFont="1" applyFill="1" applyBorder="1" applyAlignment="1">
      <alignment horizontal="left" vertical="center" readingOrder="1"/>
    </xf>
    <xf numFmtId="164" fontId="4" fillId="4" borderId="1" xfId="1" applyNumberFormat="1" applyFont="1" applyFill="1" applyBorder="1" applyAlignment="1">
      <alignment horizontal="left" vertical="center" readingOrder="1"/>
    </xf>
    <xf numFmtId="164" fontId="10" fillId="4" borderId="1" xfId="1" applyNumberFormat="1" applyFont="1" applyFill="1" applyBorder="1" applyAlignment="1">
      <alignment horizontal="left" vertical="center" readingOrder="1"/>
    </xf>
    <xf numFmtId="164" fontId="4" fillId="4" borderId="1" xfId="1" applyNumberFormat="1" applyFont="1" applyFill="1" applyBorder="1" applyAlignment="1">
      <alignment horizontal="left" readingOrder="1"/>
    </xf>
    <xf numFmtId="164" fontId="10" fillId="10" borderId="1" xfId="1" applyNumberFormat="1" applyFont="1" applyFill="1" applyBorder="1" applyAlignment="1">
      <alignment horizontal="left" vertical="center" readingOrder="1"/>
    </xf>
    <xf numFmtId="43" fontId="10" fillId="10" borderId="1" xfId="1" applyNumberFormat="1" applyFont="1" applyFill="1" applyBorder="1" applyAlignment="1">
      <alignment horizontal="left" vertical="center" readingOrder="1"/>
    </xf>
    <xf numFmtId="0" fontId="3" fillId="0" borderId="0" xfId="0" applyFont="1" applyBorder="1" applyAlignment="1">
      <alignment horizontal="left" vertical="center" readingOrder="1"/>
    </xf>
    <xf numFmtId="0" fontId="3" fillId="0" borderId="0" xfId="0" applyFont="1" applyAlignment="1">
      <alignment horizontal="left" vertical="center" readingOrder="1"/>
    </xf>
    <xf numFmtId="0" fontId="20" fillId="0" borderId="0" xfId="0" applyNumberFormat="1" applyFont="1" applyFill="1" applyBorder="1" applyAlignment="1">
      <alignment horizontal="left" vertical="center" readingOrder="1"/>
    </xf>
    <xf numFmtId="0" fontId="20" fillId="0" borderId="0" xfId="0" applyNumberFormat="1" applyFont="1" applyFill="1" applyBorder="1" applyAlignment="1">
      <alignment horizontal="left" wrapText="1" readingOrder="1"/>
    </xf>
    <xf numFmtId="0" fontId="3" fillId="0" borderId="0" xfId="0" applyNumberFormat="1" applyFont="1" applyAlignment="1">
      <alignment horizontal="left" readingOrder="1"/>
    </xf>
    <xf numFmtId="43" fontId="3" fillId="0" borderId="0" xfId="0" applyNumberFormat="1" applyFont="1" applyAlignment="1">
      <alignment horizontal="left" readingOrder="1"/>
    </xf>
    <xf numFmtId="0" fontId="3" fillId="0" borderId="0" xfId="0" applyFont="1" applyBorder="1" applyAlignment="1">
      <alignment horizontal="left" readingOrder="1"/>
    </xf>
    <xf numFmtId="0" fontId="3" fillId="0" borderId="0" xfId="0" applyNumberFormat="1" applyFont="1" applyAlignment="1">
      <alignment horizontal="left" vertical="top" wrapText="1" readingOrder="1"/>
    </xf>
    <xf numFmtId="164" fontId="0" fillId="0" borderId="0" xfId="1" applyNumberFormat="1" applyFont="1" applyAlignment="1">
      <alignment horizontal="left" readingOrder="1"/>
    </xf>
    <xf numFmtId="164" fontId="7" fillId="0" borderId="0" xfId="1" applyNumberFormat="1" applyFont="1" applyAlignment="1">
      <alignment horizontal="left" readingOrder="1"/>
    </xf>
    <xf numFmtId="170" fontId="0" fillId="0" borderId="0" xfId="1" applyNumberFormat="1" applyFont="1" applyAlignment="1">
      <alignment horizontal="left" readingOrder="1"/>
    </xf>
    <xf numFmtId="0" fontId="19" fillId="7" borderId="1" xfId="0" applyFont="1" applyFill="1" applyBorder="1" applyAlignment="1">
      <alignment horizontal="left" vertical="center" readingOrder="1"/>
    </xf>
    <xf numFmtId="0" fontId="3" fillId="10" borderId="6" xfId="0" applyFont="1" applyFill="1" applyBorder="1" applyAlignment="1">
      <alignment vertical="center" readingOrder="2"/>
    </xf>
    <xf numFmtId="0" fontId="3" fillId="10" borderId="3" xfId="0" applyFont="1" applyFill="1" applyBorder="1" applyAlignment="1">
      <alignment vertical="center" readingOrder="2"/>
    </xf>
    <xf numFmtId="0" fontId="20" fillId="0" borderId="5" xfId="0" applyNumberFormat="1" applyFont="1" applyFill="1" applyBorder="1" applyAlignment="1">
      <alignment vertical="center"/>
    </xf>
    <xf numFmtId="0" fontId="20" fillId="0" borderId="0" xfId="0" applyNumberFormat="1" applyFont="1" applyFill="1" applyBorder="1" applyAlignment="1">
      <alignment vertical="top" wrapText="1"/>
    </xf>
    <xf numFmtId="173" fontId="0" fillId="0" borderId="3" xfId="0" applyNumberFormat="1" applyFont="1" applyFill="1" applyBorder="1" applyAlignment="1">
      <alignment horizontal="left" vertical="center" wrapText="1" readingOrder="1"/>
    </xf>
    <xf numFmtId="174" fontId="0" fillId="0" borderId="3" xfId="0" applyNumberFormat="1" applyFont="1" applyFill="1" applyBorder="1" applyAlignment="1">
      <alignment horizontal="left" vertical="center" wrapText="1" readingOrder="1"/>
    </xf>
    <xf numFmtId="175" fontId="0" fillId="0" borderId="3" xfId="0" applyNumberFormat="1" applyFont="1" applyFill="1" applyBorder="1" applyAlignment="1">
      <alignment horizontal="left" vertical="center" wrapText="1" readingOrder="1"/>
    </xf>
    <xf numFmtId="174" fontId="0" fillId="0" borderId="1" xfId="1" applyNumberFormat="1" applyFont="1" applyBorder="1" applyAlignment="1">
      <alignment horizontal="left" vertical="center" readingOrder="1"/>
    </xf>
    <xf numFmtId="175" fontId="0" fillId="0" borderId="1" xfId="1" applyNumberFormat="1" applyFont="1" applyBorder="1" applyAlignment="1">
      <alignment horizontal="left" vertical="center" readingOrder="1"/>
    </xf>
    <xf numFmtId="164" fontId="19" fillId="8" borderId="1" xfId="1" applyNumberFormat="1" applyFont="1" applyFill="1" applyBorder="1" applyAlignment="1">
      <alignment horizontal="left" vertical="center" readingOrder="1"/>
    </xf>
    <xf numFmtId="0" fontId="19" fillId="8" borderId="1" xfId="1" applyNumberFormat="1" applyFont="1" applyFill="1" applyBorder="1" applyAlignment="1">
      <alignment horizontal="left" vertical="center" readingOrder="1"/>
    </xf>
    <xf numFmtId="0" fontId="19" fillId="8" borderId="1" xfId="0" applyFont="1" applyFill="1" applyBorder="1" applyAlignment="1">
      <alignment horizontal="left" vertical="center" readingOrder="1"/>
    </xf>
    <xf numFmtId="0" fontId="20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readingOrder="1"/>
    </xf>
    <xf numFmtId="0" fontId="4" fillId="4" borderId="1" xfId="0" applyFont="1" applyFill="1" applyBorder="1" applyAlignment="1">
      <alignment horizontal="left" vertical="center" wrapText="1" readingOrder="1"/>
    </xf>
    <xf numFmtId="0" fontId="6" fillId="5" borderId="1" xfId="0" applyFont="1" applyFill="1" applyBorder="1" applyAlignment="1">
      <alignment horizontal="left" vertical="center" wrapText="1" readingOrder="1"/>
    </xf>
    <xf numFmtId="0" fontId="4" fillId="0" borderId="0" xfId="0" applyFont="1" applyAlignment="1">
      <alignment horizontal="left" vertical="center" readingOrder="1"/>
    </xf>
    <xf numFmtId="0" fontId="6" fillId="5" borderId="1" xfId="0" applyFont="1" applyFill="1" applyBorder="1" applyAlignment="1">
      <alignment horizontal="left" vertical="center" wrapText="1"/>
    </xf>
    <xf numFmtId="43" fontId="6" fillId="5" borderId="1" xfId="1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left" vertical="center" readingOrder="1"/>
    </xf>
    <xf numFmtId="164" fontId="5" fillId="6" borderId="9" xfId="1" applyNumberFormat="1" applyFont="1" applyFill="1" applyBorder="1" applyAlignment="1">
      <alignment horizontal="left" vertical="center" readingOrder="1"/>
    </xf>
    <xf numFmtId="164" fontId="3" fillId="6" borderId="9" xfId="1" applyNumberFormat="1" applyFont="1" applyFill="1" applyBorder="1" applyAlignment="1">
      <alignment horizontal="left" vertical="center" readingOrder="1"/>
    </xf>
    <xf numFmtId="43" fontId="3" fillId="6" borderId="9" xfId="1" applyNumberFormat="1" applyFont="1" applyFill="1" applyBorder="1" applyAlignment="1">
      <alignment horizontal="left" vertical="center" readingOrder="1"/>
    </xf>
    <xf numFmtId="164" fontId="3" fillId="4" borderId="1" xfId="1" applyNumberFormat="1" applyFont="1" applyFill="1" applyBorder="1" applyAlignment="1">
      <alignment horizontal="left" vertical="center" wrapText="1" readingOrder="1"/>
    </xf>
    <xf numFmtId="164" fontId="4" fillId="4" borderId="1" xfId="1" applyNumberFormat="1" applyFont="1" applyFill="1" applyBorder="1" applyAlignment="1">
      <alignment horizontal="left" vertical="center" wrapText="1" readingOrder="1"/>
    </xf>
    <xf numFmtId="0" fontId="5" fillId="8" borderId="1" xfId="0" applyFont="1" applyFill="1" applyBorder="1" applyAlignment="1">
      <alignment horizontal="left" vertical="center" readingOrder="1"/>
    </xf>
    <xf numFmtId="164" fontId="5" fillId="8" borderId="1" xfId="1" applyNumberFormat="1" applyFont="1" applyFill="1" applyBorder="1" applyAlignment="1">
      <alignment horizontal="left" vertical="center" readingOrder="1"/>
    </xf>
    <xf numFmtId="164" fontId="23" fillId="8" borderId="1" xfId="1" applyNumberFormat="1" applyFont="1" applyFill="1" applyBorder="1" applyAlignment="1">
      <alignment horizontal="left" vertical="center" readingOrder="1"/>
    </xf>
    <xf numFmtId="0" fontId="5" fillId="18" borderId="1" xfId="0" applyFont="1" applyFill="1" applyBorder="1" applyAlignment="1">
      <alignment horizontal="left" vertical="center" readingOrder="1"/>
    </xf>
    <xf numFmtId="164" fontId="5" fillId="18" borderId="1" xfId="1" applyNumberFormat="1" applyFont="1" applyFill="1" applyBorder="1" applyAlignment="1">
      <alignment horizontal="left" vertical="center" readingOrder="1"/>
    </xf>
    <xf numFmtId="164" fontId="3" fillId="18" borderId="1" xfId="1" applyNumberFormat="1" applyFont="1" applyFill="1" applyBorder="1" applyAlignment="1">
      <alignment horizontal="left" vertical="center" readingOrder="1"/>
    </xf>
    <xf numFmtId="164" fontId="23" fillId="18" borderId="1" xfId="1" applyNumberFormat="1" applyFont="1" applyFill="1" applyBorder="1" applyAlignment="1">
      <alignment horizontal="left" vertical="center" readingOrder="1"/>
    </xf>
    <xf numFmtId="0" fontId="6" fillId="5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left" vertical="center" wrapText="1" readingOrder="1"/>
    </xf>
    <xf numFmtId="0" fontId="3" fillId="0" borderId="5" xfId="0" applyFont="1" applyBorder="1" applyAlignment="1">
      <alignment vertical="center"/>
    </xf>
    <xf numFmtId="0" fontId="20" fillId="0" borderId="0" xfId="0" applyNumberFormat="1" applyFont="1" applyFill="1" applyBorder="1" applyAlignment="1">
      <alignment vertical="center" readingOrder="1"/>
    </xf>
    <xf numFmtId="0" fontId="20" fillId="0" borderId="0" xfId="0" applyNumberFormat="1" applyFont="1" applyFill="1" applyBorder="1" applyAlignment="1">
      <alignment vertical="top"/>
    </xf>
    <xf numFmtId="0" fontId="3" fillId="0" borderId="0" xfId="0" applyNumberFormat="1" applyFont="1" applyAlignment="1">
      <alignment horizontal="right" vertical="top"/>
    </xf>
    <xf numFmtId="0" fontId="3" fillId="0" borderId="0" xfId="0" applyNumberFormat="1" applyFont="1" applyAlignment="1">
      <alignment horizontal="left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vertical="top"/>
    </xf>
    <xf numFmtId="0" fontId="12" fillId="0" borderId="0" xfId="0" applyFont="1" applyAlignment="1">
      <alignment horizontal="right" vertical="top"/>
    </xf>
    <xf numFmtId="0" fontId="20" fillId="0" borderId="0" xfId="0" applyNumberFormat="1" applyFont="1" applyFill="1" applyBorder="1" applyAlignment="1">
      <alignment wrapText="1"/>
    </xf>
    <xf numFmtId="0" fontId="3" fillId="0" borderId="5" xfId="0" applyFont="1" applyBorder="1" applyAlignment="1">
      <alignment vertical="top"/>
    </xf>
    <xf numFmtId="0" fontId="20" fillId="0" borderId="0" xfId="0" applyNumberFormat="1" applyFont="1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7" fillId="0" borderId="1" xfId="1" applyNumberFormat="1" applyFont="1" applyFill="1" applyBorder="1" applyAlignment="1">
      <alignment horizontal="center" vertical="center" readingOrder="1"/>
    </xf>
    <xf numFmtId="0" fontId="7" fillId="5" borderId="1" xfId="1" applyNumberFormat="1" applyFont="1" applyFill="1" applyBorder="1" applyAlignment="1">
      <alignment horizontal="center" vertical="center" readingOrder="1"/>
    </xf>
    <xf numFmtId="164" fontId="19" fillId="8" borderId="1" xfId="1" applyNumberFormat="1" applyFont="1" applyFill="1" applyBorder="1" applyAlignment="1">
      <alignment horizontal="center" vertical="center" readingOrder="1"/>
    </xf>
    <xf numFmtId="0" fontId="4" fillId="7" borderId="1" xfId="0" applyFont="1" applyFill="1" applyBorder="1" applyAlignment="1">
      <alignment horizontal="center" vertical="center" readingOrder="1"/>
    </xf>
    <xf numFmtId="0" fontId="6" fillId="5" borderId="1" xfId="0" applyFont="1" applyFill="1" applyBorder="1" applyAlignment="1">
      <alignment horizontal="left" vertical="top" wrapText="1"/>
    </xf>
    <xf numFmtId="43" fontId="6" fillId="5" borderId="1" xfId="1" applyFont="1" applyFill="1" applyBorder="1" applyAlignment="1">
      <alignment vertical="center" wrapText="1"/>
    </xf>
    <xf numFmtId="164" fontId="4" fillId="8" borderId="1" xfId="1" applyNumberFormat="1" applyFont="1" applyFill="1" applyBorder="1" applyAlignment="1">
      <alignment vertical="center" wrapText="1" readingOrder="1"/>
    </xf>
    <xf numFmtId="164" fontId="3" fillId="7" borderId="1" xfId="1" applyNumberFormat="1" applyFont="1" applyFill="1" applyBorder="1" applyAlignment="1">
      <alignment vertical="center" readingOrder="1"/>
    </xf>
    <xf numFmtId="43" fontId="0" fillId="0" borderId="1" xfId="1" applyFont="1" applyFill="1" applyBorder="1" applyAlignment="1">
      <alignment vertical="center" readingOrder="1"/>
    </xf>
    <xf numFmtId="43" fontId="7" fillId="0" borderId="1" xfId="1" applyNumberFormat="1" applyFont="1" applyFill="1" applyBorder="1" applyAlignment="1">
      <alignment vertical="center" readingOrder="1"/>
    </xf>
    <xf numFmtId="164" fontId="19" fillId="8" borderId="1" xfId="1" applyNumberFormat="1" applyFont="1" applyFill="1" applyBorder="1" applyAlignment="1">
      <alignment vertical="center" readingOrder="1"/>
    </xf>
    <xf numFmtId="0" fontId="4" fillId="7" borderId="1" xfId="0" applyFont="1" applyFill="1" applyBorder="1" applyAlignment="1">
      <alignment vertical="center" readingOrder="1"/>
    </xf>
    <xf numFmtId="43" fontId="7" fillId="5" borderId="1" xfId="1" applyNumberFormat="1" applyFont="1" applyFill="1" applyBorder="1" applyAlignment="1">
      <alignment vertical="center" readingOrder="1"/>
    </xf>
    <xf numFmtId="43" fontId="19" fillId="8" borderId="1" xfId="1" applyNumberFormat="1" applyFont="1" applyFill="1" applyBorder="1" applyAlignment="1">
      <alignment vertical="center" readingOrder="1"/>
    </xf>
    <xf numFmtId="0" fontId="4" fillId="7" borderId="1" xfId="0" applyFont="1" applyFill="1" applyBorder="1" applyAlignment="1">
      <alignment vertical="center" wrapText="1" readingOrder="1"/>
    </xf>
    <xf numFmtId="43" fontId="0" fillId="5" borderId="1" xfId="1" applyNumberFormat="1" applyFont="1" applyFill="1" applyBorder="1" applyAlignment="1">
      <alignment vertical="center" readingOrder="1"/>
    </xf>
    <xf numFmtId="164" fontId="3" fillId="6" borderId="1" xfId="1" applyNumberFormat="1" applyFont="1" applyFill="1" applyBorder="1" applyAlignment="1">
      <alignment vertical="center" readingOrder="1"/>
    </xf>
    <xf numFmtId="43" fontId="0" fillId="0" borderId="1" xfId="1" applyNumberFormat="1" applyFont="1" applyBorder="1" applyAlignment="1">
      <alignment vertical="center" readingOrder="1"/>
    </xf>
    <xf numFmtId="164" fontId="7" fillId="0" borderId="1" xfId="1" applyNumberFormat="1" applyFont="1" applyFill="1" applyBorder="1" applyAlignment="1">
      <alignment vertical="center" readingOrder="1"/>
    </xf>
    <xf numFmtId="43" fontId="7" fillId="6" borderId="1" xfId="1" applyNumberFormat="1" applyFont="1" applyFill="1" applyBorder="1" applyAlignment="1">
      <alignment vertical="center" readingOrder="1"/>
    </xf>
    <xf numFmtId="43" fontId="10" fillId="4" borderId="1" xfId="1" applyNumberFormat="1" applyFont="1" applyFill="1" applyBorder="1" applyAlignment="1">
      <alignment vertical="center" readingOrder="1"/>
    </xf>
    <xf numFmtId="164" fontId="10" fillId="10" borderId="1" xfId="1" applyNumberFormat="1" applyFont="1" applyFill="1" applyBorder="1" applyAlignment="1">
      <alignment vertical="center" readingOrder="1"/>
    </xf>
    <xf numFmtId="0" fontId="3" fillId="0" borderId="0" xfId="0" applyNumberFormat="1" applyFont="1" applyAlignment="1">
      <alignment vertical="top"/>
    </xf>
    <xf numFmtId="0" fontId="3" fillId="0" borderId="0" xfId="0" applyFont="1" applyAlignment="1">
      <alignment vertical="center" readingOrder="1"/>
    </xf>
    <xf numFmtId="0" fontId="3" fillId="0" borderId="0" xfId="0" applyFont="1" applyAlignment="1">
      <alignment vertical="top" readingOrder="1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 wrapText="1" readingOrder="1"/>
    </xf>
    <xf numFmtId="0" fontId="0" fillId="5" borderId="1" xfId="1" applyNumberFormat="1" applyFont="1" applyFill="1" applyBorder="1" applyAlignment="1">
      <alignment horizontal="center" vertical="center" readingOrder="1"/>
    </xf>
    <xf numFmtId="0" fontId="41" fillId="17" borderId="1" xfId="0" applyFont="1" applyFill="1" applyBorder="1" applyAlignment="1">
      <alignment horizontal="center" vertical="center" wrapText="1"/>
    </xf>
    <xf numFmtId="0" fontId="42" fillId="17" borderId="1" xfId="0" applyFont="1" applyFill="1" applyBorder="1" applyAlignment="1">
      <alignment horizontal="center" vertical="center" wrapText="1"/>
    </xf>
    <xf numFmtId="0" fontId="43" fillId="17" borderId="1" xfId="0" applyFont="1" applyFill="1" applyBorder="1" applyAlignment="1">
      <alignment horizontal="center" vertical="center" wrapText="1"/>
    </xf>
    <xf numFmtId="0" fontId="43" fillId="17" borderId="1" xfId="0" applyFont="1" applyFill="1" applyBorder="1" applyAlignment="1">
      <alignment horizontal="center" vertical="center" wrapText="1" readingOrder="1"/>
    </xf>
    <xf numFmtId="164" fontId="41" fillId="17" borderId="1" xfId="1" applyNumberFormat="1" applyFont="1" applyFill="1" applyBorder="1" applyAlignment="1">
      <alignment horizontal="center" vertical="center" wrapText="1" readingOrder="1"/>
    </xf>
    <xf numFmtId="0" fontId="41" fillId="17" borderId="1" xfId="0" applyFont="1" applyFill="1" applyBorder="1" applyAlignment="1">
      <alignment horizontal="center" vertical="center" wrapText="1" readingOrder="1"/>
    </xf>
    <xf numFmtId="0" fontId="41" fillId="17" borderId="1" xfId="0" applyFont="1" applyFill="1" applyBorder="1" applyAlignment="1">
      <alignment horizontal="center" vertical="center" readingOrder="1"/>
    </xf>
    <xf numFmtId="0" fontId="44" fillId="17" borderId="1" xfId="0" applyFont="1" applyFill="1" applyBorder="1" applyAlignment="1">
      <alignment horizontal="center" vertical="center" wrapText="1" readingOrder="1"/>
    </xf>
    <xf numFmtId="164" fontId="41" fillId="17" borderId="1" xfId="1" applyNumberFormat="1" applyFont="1" applyFill="1" applyBorder="1" applyAlignment="1">
      <alignment horizontal="center" vertical="center" readingOrder="1"/>
    </xf>
    <xf numFmtId="0" fontId="41" fillId="6" borderId="1" xfId="0" applyFont="1" applyFill="1" applyBorder="1" applyAlignment="1">
      <alignment horizontal="center" vertical="center" readingOrder="1"/>
    </xf>
    <xf numFmtId="164" fontId="41" fillId="6" borderId="1" xfId="1" applyNumberFormat="1" applyFont="1" applyFill="1" applyBorder="1" applyAlignment="1">
      <alignment horizontal="center" vertical="center" readingOrder="1"/>
    </xf>
    <xf numFmtId="164" fontId="44" fillId="6" borderId="1" xfId="1" applyNumberFormat="1" applyFont="1" applyFill="1" applyBorder="1" applyAlignment="1">
      <alignment horizontal="center" vertical="center" readingOrder="1"/>
    </xf>
    <xf numFmtId="0" fontId="21" fillId="0" borderId="1" xfId="0" applyFont="1" applyFill="1" applyBorder="1" applyAlignment="1">
      <alignment horizontal="left" vertical="center" wrapText="1"/>
    </xf>
    <xf numFmtId="43" fontId="21" fillId="0" borderId="1" xfId="0" applyNumberFormat="1" applyFont="1" applyFill="1" applyBorder="1" applyAlignment="1">
      <alignment readingOrder="1"/>
    </xf>
    <xf numFmtId="164" fontId="21" fillId="0" borderId="1" xfId="1" applyNumberFormat="1" applyFont="1" applyFill="1" applyBorder="1" applyAlignment="1">
      <alignment readingOrder="1"/>
    </xf>
    <xf numFmtId="164" fontId="45" fillId="0" borderId="1" xfId="1" applyNumberFormat="1" applyFont="1" applyFill="1" applyBorder="1" applyAlignment="1">
      <alignment horizontal="center" vertical="center" readingOrder="1"/>
    </xf>
    <xf numFmtId="15" fontId="22" fillId="0" borderId="1" xfId="0" applyNumberFormat="1" applyFont="1" applyBorder="1" applyAlignment="1">
      <alignment vertical="center" readingOrder="1"/>
    </xf>
    <xf numFmtId="0" fontId="22" fillId="0" borderId="1" xfId="0" applyFont="1" applyBorder="1" applyAlignment="1">
      <alignment vertical="top" wrapText="1" readingOrder="1"/>
    </xf>
    <xf numFmtId="0" fontId="22" fillId="0" borderId="1" xfId="0" applyNumberFormat="1" applyFont="1" applyBorder="1" applyAlignment="1">
      <alignment horizontal="center" vertical="center" readingOrder="1"/>
    </xf>
    <xf numFmtId="164" fontId="22" fillId="0" borderId="1" xfId="1" applyNumberFormat="1" applyFont="1" applyBorder="1" applyAlignment="1">
      <alignment horizontal="center" readingOrder="1"/>
    </xf>
    <xf numFmtId="164" fontId="21" fillId="0" borderId="1" xfId="1" applyNumberFormat="1" applyFont="1" applyBorder="1" applyAlignment="1">
      <alignment horizontal="center" readingOrder="1"/>
    </xf>
    <xf numFmtId="0" fontId="21" fillId="0" borderId="1" xfId="0" applyFont="1" applyFill="1" applyBorder="1" applyAlignment="1">
      <alignment readingOrder="1"/>
    </xf>
    <xf numFmtId="0" fontId="43" fillId="8" borderId="1" xfId="0" applyFont="1" applyFill="1" applyBorder="1" applyAlignment="1">
      <alignment vertical="center" readingOrder="1"/>
    </xf>
    <xf numFmtId="164" fontId="43" fillId="8" borderId="1" xfId="1" applyNumberFormat="1" applyFont="1" applyFill="1" applyBorder="1" applyAlignment="1">
      <alignment vertical="center" readingOrder="1"/>
    </xf>
    <xf numFmtId="0" fontId="43" fillId="8" borderId="1" xfId="1" applyNumberFormat="1" applyFont="1" applyFill="1" applyBorder="1" applyAlignment="1">
      <alignment vertical="center" readingOrder="1"/>
    </xf>
    <xf numFmtId="164" fontId="44" fillId="8" borderId="1" xfId="1" applyNumberFormat="1" applyFont="1" applyFill="1" applyBorder="1" applyAlignment="1">
      <alignment vertical="center" readingOrder="1"/>
    </xf>
    <xf numFmtId="0" fontId="43" fillId="6" borderId="1" xfId="0" applyFont="1" applyFill="1" applyBorder="1" applyAlignment="1">
      <alignment horizontal="center" vertical="center" wrapText="1" readingOrder="1"/>
    </xf>
    <xf numFmtId="164" fontId="41" fillId="6" borderId="1" xfId="1" applyNumberFormat="1" applyFont="1" applyFill="1" applyBorder="1" applyAlignment="1">
      <alignment horizontal="center" vertical="center" wrapText="1" readingOrder="1"/>
    </xf>
    <xf numFmtId="0" fontId="41" fillId="6" borderId="1" xfId="0" applyFont="1" applyFill="1" applyBorder="1" applyAlignment="1">
      <alignment horizontal="center" vertical="center" wrapText="1" readingOrder="1"/>
    </xf>
    <xf numFmtId="164" fontId="21" fillId="5" borderId="1" xfId="1" applyNumberFormat="1" applyFont="1" applyFill="1" applyBorder="1" applyAlignment="1">
      <alignment horizontal="left" vertical="center" wrapText="1" readingOrder="1"/>
    </xf>
    <xf numFmtId="164" fontId="21" fillId="5" borderId="1" xfId="1" applyNumberFormat="1" applyFont="1" applyFill="1" applyBorder="1" applyAlignment="1">
      <alignment horizontal="center" vertical="center" wrapText="1" readingOrder="1"/>
    </xf>
    <xf numFmtId="0" fontId="22" fillId="0" borderId="1" xfId="1" applyNumberFormat="1" applyFont="1" applyBorder="1" applyAlignment="1">
      <alignment horizontal="center" vertical="center" wrapText="1" readingOrder="1"/>
    </xf>
    <xf numFmtId="164" fontId="22" fillId="0" borderId="1" xfId="1" applyNumberFormat="1" applyFont="1" applyBorder="1" applyAlignment="1">
      <alignment horizontal="center" vertical="center" wrapText="1" readingOrder="1"/>
    </xf>
    <xf numFmtId="164" fontId="22" fillId="5" borderId="1" xfId="1" applyNumberFormat="1" applyFont="1" applyFill="1" applyBorder="1" applyAlignment="1">
      <alignment horizontal="center" vertical="center" wrapText="1" readingOrder="1"/>
    </xf>
    <xf numFmtId="15" fontId="22" fillId="0" borderId="1" xfId="0" applyNumberFormat="1" applyFont="1" applyBorder="1" applyAlignment="1">
      <alignment horizontal="center" vertical="center" wrapText="1" readingOrder="1"/>
    </xf>
    <xf numFmtId="0" fontId="22" fillId="0" borderId="1" xfId="0" applyFont="1" applyBorder="1" applyAlignment="1">
      <alignment horizontal="center" vertical="center" wrapText="1" readingOrder="1"/>
    </xf>
    <xf numFmtId="0" fontId="22" fillId="0" borderId="1" xfId="0" applyNumberFormat="1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wrapText="1"/>
    </xf>
    <xf numFmtId="164" fontId="21" fillId="0" borderId="1" xfId="1" applyNumberFormat="1" applyFont="1" applyBorder="1" applyAlignment="1">
      <alignment vertical="center" wrapText="1" readingOrder="1"/>
    </xf>
    <xf numFmtId="164" fontId="22" fillId="0" borderId="1" xfId="1" applyNumberFormat="1" applyFont="1" applyBorder="1" applyAlignment="1">
      <alignment wrapText="1" readingOrder="1"/>
    </xf>
    <xf numFmtId="0" fontId="47" fillId="8" borderId="1" xfId="0" applyFont="1" applyFill="1" applyBorder="1" applyAlignment="1">
      <alignment horizontal="center" vertical="center" readingOrder="1"/>
    </xf>
    <xf numFmtId="0" fontId="47" fillId="8" borderId="1" xfId="1" applyNumberFormat="1" applyFont="1" applyFill="1" applyBorder="1" applyAlignment="1">
      <alignment horizontal="center" vertical="center" readingOrder="1"/>
    </xf>
    <xf numFmtId="164" fontId="47" fillId="8" borderId="1" xfId="1" applyNumberFormat="1" applyFont="1" applyFill="1" applyBorder="1" applyAlignment="1">
      <alignment horizontal="center" vertical="center" readingOrder="1"/>
    </xf>
    <xf numFmtId="164" fontId="48" fillId="8" borderId="1" xfId="1" applyNumberFormat="1" applyFont="1" applyFill="1" applyBorder="1" applyAlignment="1">
      <alignment horizontal="center" vertical="center" readingOrder="1"/>
    </xf>
    <xf numFmtId="164" fontId="44" fillId="8" borderId="1" xfId="1" applyNumberFormat="1" applyFont="1" applyFill="1" applyBorder="1" applyAlignment="1">
      <alignment horizontal="center" vertical="center" readingOrder="1"/>
    </xf>
    <xf numFmtId="164" fontId="41" fillId="6" borderId="1" xfId="1" applyNumberFormat="1" applyFont="1" applyFill="1" applyBorder="1" applyAlignment="1">
      <alignment horizontal="center" wrapText="1" readingOrder="1"/>
    </xf>
    <xf numFmtId="164" fontId="44" fillId="6" borderId="1" xfId="1" applyNumberFormat="1" applyFont="1" applyFill="1" applyBorder="1" applyAlignment="1">
      <alignment horizontal="center" vertical="center" wrapText="1" readingOrder="1"/>
    </xf>
    <xf numFmtId="164" fontId="22" fillId="5" borderId="1" xfId="1" applyNumberFormat="1" applyFont="1" applyFill="1" applyBorder="1" applyAlignment="1">
      <alignment horizontal="center" vertical="center" readingOrder="1"/>
    </xf>
    <xf numFmtId="0" fontId="22" fillId="0" borderId="1" xfId="0" applyFont="1" applyBorder="1" applyAlignment="1">
      <alignment horizontal="center" vertical="center" readingOrder="1"/>
    </xf>
    <xf numFmtId="164" fontId="22" fillId="0" borderId="1" xfId="0" applyNumberFormat="1" applyFont="1" applyBorder="1" applyAlignment="1">
      <alignment horizontal="center" vertical="center" readingOrder="1"/>
    </xf>
    <xf numFmtId="167" fontId="21" fillId="0" borderId="1" xfId="0" applyNumberFormat="1" applyFont="1" applyBorder="1" applyAlignment="1">
      <alignment horizontal="center" vertical="center" readingOrder="1"/>
    </xf>
    <xf numFmtId="164" fontId="22" fillId="0" borderId="1" xfId="1" applyNumberFormat="1" applyFont="1" applyFill="1" applyBorder="1" applyAlignment="1">
      <alignment horizontal="center" vertical="center" readingOrder="1"/>
    </xf>
    <xf numFmtId="0" fontId="48" fillId="8" borderId="1" xfId="1" applyNumberFormat="1" applyFont="1" applyFill="1" applyBorder="1" applyAlignment="1">
      <alignment horizontal="center" vertical="center" readingOrder="1"/>
    </xf>
    <xf numFmtId="0" fontId="42" fillId="17" borderId="1" xfId="0" applyFont="1" applyFill="1" applyBorder="1" applyAlignment="1">
      <alignment horizontal="left" vertical="center" wrapText="1"/>
    </xf>
    <xf numFmtId="0" fontId="43" fillId="17" borderId="1" xfId="0" applyFont="1" applyFill="1" applyBorder="1" applyAlignment="1">
      <alignment horizontal="left" vertical="center" wrapText="1"/>
    </xf>
    <xf numFmtId="0" fontId="21" fillId="0" borderId="1" xfId="1" applyNumberFormat="1" applyFont="1" applyFill="1" applyBorder="1" applyAlignment="1">
      <alignment horizontal="left" vertical="center" wrapText="1" readingOrder="1"/>
    </xf>
    <xf numFmtId="0" fontId="21" fillId="0" borderId="1" xfId="1" applyNumberFormat="1" applyFont="1" applyFill="1" applyBorder="1" applyAlignment="1">
      <alignment horizontal="center" vertical="center" wrapText="1" readingOrder="1"/>
    </xf>
    <xf numFmtId="164" fontId="22" fillId="5" borderId="1" xfId="1" applyNumberFormat="1" applyFont="1" applyFill="1" applyBorder="1" applyAlignment="1">
      <alignment horizontal="center" vertical="top" readingOrder="1"/>
    </xf>
    <xf numFmtId="164" fontId="22" fillId="0" borderId="1" xfId="1" applyNumberFormat="1" applyFont="1" applyBorder="1" applyAlignment="1">
      <alignment horizontal="center" vertical="top" readingOrder="1"/>
    </xf>
    <xf numFmtId="15" fontId="22" fillId="0" borderId="1" xfId="0" applyNumberFormat="1" applyFont="1" applyBorder="1" applyAlignment="1">
      <alignment vertical="top" readingOrder="1"/>
    </xf>
    <xf numFmtId="164" fontId="22" fillId="0" borderId="1" xfId="0" applyNumberFormat="1" applyFont="1" applyBorder="1" applyAlignment="1">
      <alignment readingOrder="1"/>
    </xf>
    <xf numFmtId="164" fontId="21" fillId="0" borderId="1" xfId="0" applyNumberFormat="1" applyFont="1" applyBorder="1" applyAlignment="1">
      <alignment vertical="top" readingOrder="1"/>
    </xf>
    <xf numFmtId="164" fontId="41" fillId="0" borderId="1" xfId="1" applyNumberFormat="1" applyFont="1" applyFill="1" applyBorder="1" applyAlignment="1">
      <alignment horizontal="center" vertical="center" readingOrder="1"/>
    </xf>
    <xf numFmtId="0" fontId="21" fillId="0" borderId="1" xfId="0" applyFont="1" applyFill="1" applyBorder="1" applyAlignment="1">
      <alignment vertical="top" readingOrder="1"/>
    </xf>
    <xf numFmtId="0" fontId="21" fillId="0" borderId="1" xfId="0" applyFont="1" applyBorder="1" applyAlignment="1">
      <alignment vertical="top" readingOrder="1"/>
    </xf>
    <xf numFmtId="0" fontId="21" fillId="0" borderId="1" xfId="1" applyNumberFormat="1" applyFont="1" applyFill="1" applyBorder="1" applyAlignment="1">
      <alignment horizontal="center" vertical="center" readingOrder="1"/>
    </xf>
    <xf numFmtId="164" fontId="45" fillId="0" borderId="1" xfId="1" applyNumberFormat="1" applyFont="1" applyFill="1" applyBorder="1" applyAlignment="1">
      <alignment horizontal="right" vertical="center" readingOrder="1"/>
    </xf>
    <xf numFmtId="43" fontId="22" fillId="0" borderId="1" xfId="1" applyFont="1" applyBorder="1" applyAlignment="1">
      <alignment horizontal="right" vertical="center" readingOrder="1"/>
    </xf>
    <xf numFmtId="164" fontId="22" fillId="5" borderId="1" xfId="1" applyNumberFormat="1" applyFont="1" applyFill="1" applyBorder="1" applyAlignment="1">
      <alignment horizontal="right" vertical="center" readingOrder="1"/>
    </xf>
    <xf numFmtId="15" fontId="22" fillId="0" borderId="1" xfId="0" applyNumberFormat="1" applyFont="1" applyBorder="1" applyAlignment="1">
      <alignment horizontal="right" vertical="top" readingOrder="1"/>
    </xf>
    <xf numFmtId="0" fontId="22" fillId="0" borderId="1" xfId="0" applyFont="1" applyBorder="1" applyAlignment="1">
      <alignment horizontal="right" vertical="center" readingOrder="1"/>
    </xf>
    <xf numFmtId="164" fontId="22" fillId="0" borderId="1" xfId="0" applyNumberFormat="1" applyFont="1" applyBorder="1" applyAlignment="1">
      <alignment horizontal="right" readingOrder="1"/>
    </xf>
    <xf numFmtId="167" fontId="21" fillId="0" borderId="1" xfId="0" applyNumberFormat="1" applyFont="1" applyBorder="1" applyAlignment="1">
      <alignment horizontal="right" readingOrder="1"/>
    </xf>
    <xf numFmtId="164" fontId="45" fillId="8" borderId="1" xfId="1" applyNumberFormat="1" applyFont="1" applyFill="1" applyBorder="1" applyAlignment="1">
      <alignment horizontal="center" vertical="center" readingOrder="1"/>
    </xf>
    <xf numFmtId="164" fontId="43" fillId="8" borderId="1" xfId="1" applyNumberFormat="1" applyFont="1" applyFill="1" applyBorder="1" applyAlignment="1">
      <alignment horizontal="center" vertical="center" readingOrder="1"/>
    </xf>
    <xf numFmtId="0" fontId="43" fillId="8" borderId="1" xfId="1" applyNumberFormat="1" applyFont="1" applyFill="1" applyBorder="1" applyAlignment="1">
      <alignment horizontal="center" vertical="center" readingOrder="1"/>
    </xf>
    <xf numFmtId="164" fontId="21" fillId="0" borderId="1" xfId="1" applyNumberFormat="1" applyFont="1" applyFill="1" applyBorder="1" applyAlignment="1">
      <alignment horizontal="left" vertical="center" wrapText="1" readingOrder="1"/>
    </xf>
    <xf numFmtId="165" fontId="22" fillId="0" borderId="1" xfId="1" applyNumberFormat="1" applyFont="1" applyBorder="1" applyAlignment="1">
      <alignment horizontal="right" vertical="center" readingOrder="1"/>
    </xf>
    <xf numFmtId="0" fontId="22" fillId="0" borderId="1" xfId="0" applyFont="1" applyBorder="1" applyAlignment="1">
      <alignment horizontal="right" vertical="center" wrapText="1" readingOrder="1"/>
    </xf>
    <xf numFmtId="0" fontId="22" fillId="0" borderId="1" xfId="0" applyFont="1" applyBorder="1" applyAlignment="1">
      <alignment horizontal="right" readingOrder="1"/>
    </xf>
    <xf numFmtId="0" fontId="43" fillId="10" borderId="1" xfId="0" applyFont="1" applyFill="1" applyBorder="1" applyAlignment="1">
      <alignment vertical="center" readingOrder="1"/>
    </xf>
    <xf numFmtId="164" fontId="43" fillId="10" borderId="1" xfId="1" applyNumberFormat="1" applyFont="1" applyFill="1" applyBorder="1" applyAlignment="1">
      <alignment horizontal="center" vertical="center" readingOrder="1"/>
    </xf>
    <xf numFmtId="43" fontId="43" fillId="10" borderId="1" xfId="1" applyNumberFormat="1" applyFont="1" applyFill="1" applyBorder="1" applyAlignment="1">
      <alignment horizontal="center" vertical="center" readingOrder="1"/>
    </xf>
    <xf numFmtId="0" fontId="43" fillId="21" borderId="1" xfId="0" applyFont="1" applyFill="1" applyBorder="1" applyAlignment="1">
      <alignment vertical="center" readingOrder="1"/>
    </xf>
    <xf numFmtId="43" fontId="43" fillId="21" borderId="1" xfId="1" applyNumberFormat="1" applyFont="1" applyFill="1" applyBorder="1" applyAlignment="1">
      <alignment horizontal="center" vertical="center" readingOrder="1"/>
    </xf>
    <xf numFmtId="164" fontId="43" fillId="21" borderId="1" xfId="1" applyNumberFormat="1" applyFont="1" applyFill="1" applyBorder="1" applyAlignment="1">
      <alignment horizontal="center" vertical="center" readingOrder="1"/>
    </xf>
    <xf numFmtId="0" fontId="43" fillId="0" borderId="0" xfId="0" applyFont="1" applyBorder="1" applyAlignment="1">
      <alignment vertical="center"/>
    </xf>
    <xf numFmtId="0" fontId="43" fillId="0" borderId="5" xfId="0" applyFont="1" applyBorder="1" applyAlignment="1">
      <alignment vertical="top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top"/>
    </xf>
    <xf numFmtId="0" fontId="43" fillId="0" borderId="0" xfId="0" applyFont="1" applyAlignment="1">
      <alignment horizontal="left"/>
    </xf>
    <xf numFmtId="0" fontId="43" fillId="0" borderId="0" xfId="0" applyFont="1" applyBorder="1" applyAlignment="1">
      <alignment vertical="top"/>
    </xf>
    <xf numFmtId="0" fontId="49" fillId="0" borderId="0" xfId="0" applyNumberFormat="1" applyFont="1" applyFill="1" applyBorder="1" applyAlignment="1">
      <alignment vertical="top"/>
    </xf>
    <xf numFmtId="0" fontId="49" fillId="0" borderId="0" xfId="0" applyNumberFormat="1" applyFont="1" applyFill="1" applyBorder="1" applyAlignment="1">
      <alignment horizontal="center" vertical="top" wrapText="1"/>
    </xf>
    <xf numFmtId="0" fontId="43" fillId="0" borderId="0" xfId="0" applyNumberFormat="1" applyFont="1" applyAlignment="1">
      <alignment horizontal="right" vertical="top"/>
    </xf>
    <xf numFmtId="0" fontId="43" fillId="0" borderId="0" xfId="0" applyNumberFormat="1" applyFont="1" applyAlignment="1">
      <alignment horizontal="left" vertical="top"/>
    </xf>
    <xf numFmtId="0" fontId="43" fillId="0" borderId="0" xfId="0" applyFont="1" applyAlignment="1">
      <alignment horizontal="left" vertical="top"/>
    </xf>
    <xf numFmtId="0" fontId="43" fillId="0" borderId="0" xfId="0" applyFont="1" applyBorder="1" applyAlignment="1">
      <alignment horizontal="center" vertical="top"/>
    </xf>
    <xf numFmtId="0" fontId="44" fillId="0" borderId="0" xfId="0" applyFont="1" applyBorder="1" applyAlignment="1">
      <alignment vertical="top"/>
    </xf>
    <xf numFmtId="0" fontId="43" fillId="0" borderId="0" xfId="0" applyFont="1" applyAlignment="1"/>
    <xf numFmtId="0" fontId="43" fillId="0" borderId="0" xfId="0" applyFont="1" applyAlignment="1">
      <alignment horizontal="right" vertical="top"/>
    </xf>
    <xf numFmtId="0" fontId="43" fillId="0" borderId="0" xfId="0" applyFont="1" applyAlignment="1">
      <alignment horizontal="center" vertical="top"/>
    </xf>
    <xf numFmtId="0" fontId="50" fillId="0" borderId="0" xfId="0" applyFont="1" applyAlignment="1">
      <alignment vertical="top" wrapText="1"/>
    </xf>
    <xf numFmtId="0" fontId="20" fillId="0" borderId="0" xfId="0" applyNumberFormat="1" applyFont="1" applyFill="1" applyBorder="1" applyAlignment="1">
      <alignment horizontal="right" vertical="center" readingOrder="1"/>
    </xf>
    <xf numFmtId="0" fontId="28" fillId="19" borderId="1" xfId="0" applyFont="1" applyFill="1" applyBorder="1" applyAlignment="1">
      <alignment horizontal="center" vertical="center" wrapText="1" readingOrder="2"/>
    </xf>
    <xf numFmtId="0" fontId="3" fillId="10" borderId="1" xfId="2" applyFont="1" applyFill="1" applyBorder="1" applyAlignment="1">
      <alignment horizontal="center" vertical="center" readingOrder="2"/>
    </xf>
    <xf numFmtId="0" fontId="28" fillId="15" borderId="1" xfId="0" applyFont="1" applyFill="1" applyBorder="1" applyAlignment="1">
      <alignment horizontal="center" vertical="center" readingOrder="2"/>
    </xf>
    <xf numFmtId="0" fontId="28" fillId="0" borderId="1" xfId="0" applyFont="1" applyFill="1" applyBorder="1" applyAlignment="1">
      <alignment horizontal="right" vertical="center" readingOrder="2"/>
    </xf>
    <xf numFmtId="0" fontId="3" fillId="8" borderId="1" xfId="0" applyFont="1" applyFill="1" applyBorder="1" applyAlignment="1">
      <alignment horizontal="right" vertical="center" readingOrder="2"/>
    </xf>
    <xf numFmtId="0" fontId="3" fillId="18" borderId="1" xfId="0" applyFont="1" applyFill="1" applyBorder="1" applyAlignment="1">
      <alignment horizontal="right" vertical="center" readingOrder="2"/>
    </xf>
    <xf numFmtId="0" fontId="24" fillId="4" borderId="28" xfId="4" applyFont="1" applyFill="1" applyBorder="1" applyAlignment="1">
      <alignment horizontal="right" vertical="center" wrapText="1"/>
    </xf>
    <xf numFmtId="0" fontId="24" fillId="4" borderId="6" xfId="4" applyFont="1" applyFill="1" applyBorder="1" applyAlignment="1">
      <alignment horizontal="right" vertical="center" wrapText="1"/>
    </xf>
    <xf numFmtId="0" fontId="24" fillId="4" borderId="30" xfId="4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20" fillId="0" borderId="22" xfId="4" applyFont="1" applyFill="1" applyBorder="1" applyAlignment="1">
      <alignment horizontal="center" vertical="center" wrapText="1"/>
    </xf>
    <xf numFmtId="0" fontId="20" fillId="0" borderId="23" xfId="4" applyFont="1" applyFill="1" applyBorder="1" applyAlignment="1">
      <alignment horizontal="center" vertical="center" wrapText="1"/>
    </xf>
    <xf numFmtId="0" fontId="20" fillId="0" borderId="24" xfId="4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 readingOrder="2"/>
    </xf>
    <xf numFmtId="0" fontId="37" fillId="10" borderId="1" xfId="0" applyFont="1" applyFill="1" applyBorder="1" applyAlignment="1">
      <alignment horizontal="center" vertical="center" wrapText="1" readingOrder="2"/>
    </xf>
    <xf numFmtId="165" fontId="24" fillId="23" borderId="7" xfId="1" applyNumberFormat="1" applyFont="1" applyFill="1" applyBorder="1" applyAlignment="1">
      <alignment horizontal="center" vertical="center" wrapText="1"/>
    </xf>
    <xf numFmtId="165" fontId="24" fillId="23" borderId="1" xfId="1" applyNumberFormat="1" applyFont="1" applyFill="1" applyBorder="1" applyAlignment="1">
      <alignment horizontal="center" vertical="center" wrapText="1"/>
    </xf>
    <xf numFmtId="165" fontId="24" fillId="6" borderId="25" xfId="1" applyNumberFormat="1" applyFont="1" applyFill="1" applyBorder="1" applyAlignment="1">
      <alignment horizontal="center" vertical="center" wrapText="1"/>
    </xf>
    <xf numFmtId="165" fontId="24" fillId="6" borderId="26" xfId="1" applyNumberFormat="1" applyFont="1" applyFill="1" applyBorder="1" applyAlignment="1">
      <alignment horizontal="center" vertical="center" wrapText="1"/>
    </xf>
    <xf numFmtId="165" fontId="24" fillId="4" borderId="28" xfId="1" applyNumberFormat="1" applyFont="1" applyFill="1" applyBorder="1" applyAlignment="1">
      <alignment horizontal="right" vertical="center" wrapText="1"/>
    </xf>
    <xf numFmtId="165" fontId="24" fillId="4" borderId="6" xfId="1" applyNumberFormat="1" applyFont="1" applyFill="1" applyBorder="1" applyAlignment="1">
      <alignment horizontal="right" vertical="center" wrapText="1"/>
    </xf>
    <xf numFmtId="165" fontId="24" fillId="4" borderId="30" xfId="1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readingOrder="2"/>
    </xf>
    <xf numFmtId="0" fontId="4" fillId="4" borderId="1" xfId="0" applyFont="1" applyFill="1" applyBorder="1" applyAlignment="1">
      <alignment horizontal="center" vertical="center" wrapText="1" readingOrder="2"/>
    </xf>
    <xf numFmtId="0" fontId="3" fillId="6" borderId="1" xfId="0" applyFont="1" applyFill="1" applyBorder="1" applyAlignment="1">
      <alignment horizontal="right" vertical="center" readingOrder="2"/>
    </xf>
    <xf numFmtId="164" fontId="19" fillId="6" borderId="2" xfId="1" applyNumberFormat="1" applyFont="1" applyFill="1" applyBorder="1" applyAlignment="1">
      <alignment horizontal="center" vertical="center" wrapText="1" readingOrder="2"/>
    </xf>
    <xf numFmtId="164" fontId="19" fillId="6" borderId="3" xfId="1" applyNumberFormat="1" applyFont="1" applyFill="1" applyBorder="1" applyAlignment="1">
      <alignment horizontal="center" vertical="center" wrapText="1" readingOrder="2"/>
    </xf>
    <xf numFmtId="0" fontId="2" fillId="7" borderId="1" xfId="0" applyFont="1" applyFill="1" applyBorder="1" applyAlignment="1">
      <alignment horizontal="center" vertical="center" wrapText="1" readingOrder="2"/>
    </xf>
    <xf numFmtId="0" fontId="3" fillId="9" borderId="9" xfId="2" applyFont="1" applyFill="1" applyBorder="1" applyAlignment="1">
      <alignment horizontal="center" vertical="center" readingOrder="2"/>
    </xf>
    <xf numFmtId="0" fontId="4" fillId="4" borderId="1" xfId="0" applyFont="1" applyFill="1" applyBorder="1" applyAlignment="1">
      <alignment horizontal="center" vertical="top" wrapText="1" readingOrder="2"/>
    </xf>
    <xf numFmtId="164" fontId="3" fillId="6" borderId="2" xfId="1" applyNumberFormat="1" applyFont="1" applyFill="1" applyBorder="1" applyAlignment="1">
      <alignment horizontal="center" vertical="center" readingOrder="2"/>
    </xf>
    <xf numFmtId="164" fontId="3" fillId="6" borderId="3" xfId="1" applyNumberFormat="1" applyFont="1" applyFill="1" applyBorder="1" applyAlignment="1">
      <alignment horizontal="center" vertical="center" readingOrder="2"/>
    </xf>
    <xf numFmtId="164" fontId="4" fillId="6" borderId="1" xfId="1" applyNumberFormat="1" applyFont="1" applyFill="1" applyBorder="1" applyAlignment="1">
      <alignment horizontal="center" vertical="center" wrapText="1" readingOrder="2"/>
    </xf>
    <xf numFmtId="0" fontId="10" fillId="19" borderId="1" xfId="0" applyFont="1" applyFill="1" applyBorder="1" applyAlignment="1">
      <alignment horizontal="right" vertical="center" readingOrder="2"/>
    </xf>
    <xf numFmtId="0" fontId="10" fillId="15" borderId="1" xfId="0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center" vertical="center" readingOrder="2"/>
    </xf>
    <xf numFmtId="164" fontId="4" fillId="6" borderId="2" xfId="1" applyNumberFormat="1" applyFont="1" applyFill="1" applyBorder="1" applyAlignment="1">
      <alignment horizontal="center" vertical="center" wrapText="1" readingOrder="2"/>
    </xf>
    <xf numFmtId="164" fontId="4" fillId="6" borderId="3" xfId="1" applyNumberFormat="1" applyFont="1" applyFill="1" applyBorder="1" applyAlignment="1">
      <alignment horizontal="center" vertical="center" wrapText="1" readingOrder="2"/>
    </xf>
    <xf numFmtId="164" fontId="19" fillId="6" borderId="1" xfId="1" applyNumberFormat="1" applyFont="1" applyFill="1" applyBorder="1" applyAlignment="1">
      <alignment horizontal="center" vertical="center" wrapText="1" readingOrder="2"/>
    </xf>
    <xf numFmtId="164" fontId="3" fillId="6" borderId="1" xfId="1" applyNumberFormat="1" applyFont="1" applyFill="1" applyBorder="1" applyAlignment="1">
      <alignment horizontal="center" vertical="center" readingOrder="2"/>
    </xf>
    <xf numFmtId="0" fontId="10" fillId="15" borderId="5" xfId="0" applyFont="1" applyFill="1" applyBorder="1" applyAlignment="1">
      <alignment horizontal="right" vertical="center"/>
    </xf>
    <xf numFmtId="0" fontId="20" fillId="0" borderId="0" xfId="0" applyNumberFormat="1" applyFont="1" applyFill="1" applyBorder="1" applyAlignment="1">
      <alignment horizontal="right" vertical="center" wrapText="1" readingOrder="2"/>
    </xf>
    <xf numFmtId="0" fontId="18" fillId="15" borderId="1" xfId="0" applyFont="1" applyFill="1" applyBorder="1" applyAlignment="1">
      <alignment horizontal="center" vertical="center" readingOrder="2"/>
    </xf>
    <xf numFmtId="0" fontId="3" fillId="16" borderId="1" xfId="1" applyNumberFormat="1" applyFont="1" applyFill="1" applyBorder="1" applyAlignment="1">
      <alignment horizontal="center" vertical="center"/>
    </xf>
    <xf numFmtId="164" fontId="0" fillId="16" borderId="1" xfId="1" applyNumberFormat="1" applyFont="1" applyFill="1" applyBorder="1" applyAlignment="1">
      <alignment horizontal="center" vertical="center"/>
    </xf>
    <xf numFmtId="0" fontId="3" fillId="0" borderId="16" xfId="1" applyNumberFormat="1" applyFont="1" applyFill="1" applyBorder="1" applyAlignment="1">
      <alignment horizontal="right" vertical="center"/>
    </xf>
    <xf numFmtId="0" fontId="3" fillId="0" borderId="17" xfId="1" applyNumberFormat="1" applyFont="1" applyFill="1" applyBorder="1" applyAlignment="1">
      <alignment horizontal="right" vertical="center"/>
    </xf>
    <xf numFmtId="0" fontId="3" fillId="0" borderId="18" xfId="1" applyNumberFormat="1" applyFont="1" applyFill="1" applyBorder="1" applyAlignment="1">
      <alignment horizontal="right" vertical="center"/>
    </xf>
    <xf numFmtId="0" fontId="18" fillId="15" borderId="11" xfId="0" applyFont="1" applyFill="1" applyBorder="1" applyAlignment="1">
      <alignment horizontal="center" vertical="center" readingOrder="2"/>
    </xf>
    <xf numFmtId="0" fontId="3" fillId="16" borderId="1" xfId="0" applyFont="1" applyFill="1" applyBorder="1" applyAlignment="1">
      <alignment horizontal="center" vertical="center" readingOrder="2"/>
    </xf>
    <xf numFmtId="164" fontId="3" fillId="16" borderId="1" xfId="1" applyNumberFormat="1" applyFont="1" applyFill="1" applyBorder="1" applyAlignment="1">
      <alignment horizontal="center" vertical="center" readingOrder="2"/>
    </xf>
    <xf numFmtId="0" fontId="3" fillId="0" borderId="0" xfId="0" applyFont="1" applyBorder="1" applyAlignment="1">
      <alignment horizontal="center" readingOrder="2"/>
    </xf>
    <xf numFmtId="0" fontId="3" fillId="0" borderId="0" xfId="0" applyFont="1" applyAlignment="1">
      <alignment horizontal="center" vertical="center"/>
    </xf>
    <xf numFmtId="0" fontId="3" fillId="0" borderId="19" xfId="1" applyNumberFormat="1" applyFont="1" applyFill="1" applyBorder="1" applyAlignment="1">
      <alignment horizontal="right" vertical="center"/>
    </xf>
    <xf numFmtId="0" fontId="3" fillId="0" borderId="20" xfId="1" applyNumberFormat="1" applyFont="1" applyFill="1" applyBorder="1" applyAlignment="1">
      <alignment horizontal="right" vertical="center"/>
    </xf>
    <xf numFmtId="0" fontId="3" fillId="0" borderId="21" xfId="1" applyNumberFormat="1" applyFont="1" applyFill="1" applyBorder="1" applyAlignment="1">
      <alignment horizontal="right" vertical="center"/>
    </xf>
    <xf numFmtId="0" fontId="3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6" fillId="5" borderId="1" xfId="0" applyFont="1" applyFill="1" applyBorder="1" applyAlignment="1">
      <alignment horizontal="right" vertical="center" wrapText="1" readingOrder="2"/>
    </xf>
    <xf numFmtId="164" fontId="3" fillId="7" borderId="1" xfId="1" applyNumberFormat="1" applyFont="1" applyFill="1" applyBorder="1" applyAlignment="1">
      <alignment horizontal="center" vertical="center" readingOrder="2"/>
    </xf>
    <xf numFmtId="0" fontId="11" fillId="0" borderId="5" xfId="0" applyNumberFormat="1" applyFont="1" applyFill="1" applyBorder="1" applyAlignment="1">
      <alignment horizontal="center" vertical="center" wrapText="1" readingOrder="2"/>
    </xf>
    <xf numFmtId="0" fontId="3" fillId="0" borderId="0" xfId="0" applyFont="1" applyBorder="1" applyAlignment="1">
      <alignment horizontal="left" wrapText="1" readingOrder="2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readingOrder="2"/>
    </xf>
    <xf numFmtId="0" fontId="3" fillId="0" borderId="0" xfId="0" applyNumberFormat="1" applyFont="1" applyAlignment="1">
      <alignment horizontal="center"/>
    </xf>
    <xf numFmtId="0" fontId="11" fillId="0" borderId="0" xfId="0" applyNumberFormat="1" applyFont="1" applyFill="1" applyBorder="1" applyAlignment="1">
      <alignment horizontal="center" wrapText="1" readingOrder="2"/>
    </xf>
    <xf numFmtId="0" fontId="3" fillId="0" borderId="0" xfId="0" applyFont="1" applyBorder="1" applyAlignment="1">
      <alignment horizontal="center" wrapText="1" readingOrder="2"/>
    </xf>
    <xf numFmtId="0" fontId="9" fillId="5" borderId="1" xfId="0" applyFont="1" applyFill="1" applyBorder="1" applyAlignment="1">
      <alignment horizontal="right" vertical="center" wrapText="1" readingOrder="2"/>
    </xf>
    <xf numFmtId="164" fontId="6" fillId="5" borderId="1" xfId="1" applyNumberFormat="1" applyFont="1" applyFill="1" applyBorder="1" applyAlignment="1">
      <alignment horizontal="right" vertical="center" wrapText="1" readingOrder="2"/>
    </xf>
    <xf numFmtId="164" fontId="2" fillId="3" borderId="1" xfId="1" applyNumberFormat="1" applyFont="1" applyFill="1" applyBorder="1" applyAlignment="1">
      <alignment horizontal="center" vertical="center" readingOrder="2"/>
    </xf>
    <xf numFmtId="164" fontId="3" fillId="4" borderId="1" xfId="1" applyNumberFormat="1" applyFont="1" applyFill="1" applyBorder="1" applyAlignment="1">
      <alignment horizontal="center" vertical="center" wrapText="1" readingOrder="2"/>
    </xf>
    <xf numFmtId="0" fontId="3" fillId="0" borderId="13" xfId="0" applyFont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0" fontId="3" fillId="2" borderId="1" xfId="2" applyFont="1" applyBorder="1" applyAlignment="1">
      <alignment horizontal="center" vertical="center" readingOrder="2"/>
    </xf>
    <xf numFmtId="0" fontId="6" fillId="0" borderId="1" xfId="0" applyFont="1" applyFill="1" applyBorder="1" applyAlignment="1">
      <alignment horizontal="right" vertical="center" wrapText="1" readingOrder="2"/>
    </xf>
    <xf numFmtId="164" fontId="7" fillId="0" borderId="2" xfId="1" applyNumberFormat="1" applyFont="1" applyFill="1" applyBorder="1" applyAlignment="1">
      <alignment horizontal="right" vertical="center"/>
    </xf>
    <xf numFmtId="164" fontId="7" fillId="0" borderId="3" xfId="1" applyNumberFormat="1" applyFont="1" applyFill="1" applyBorder="1" applyAlignment="1">
      <alignment horizontal="right" vertical="center"/>
    </xf>
    <xf numFmtId="0" fontId="0" fillId="9" borderId="1" xfId="1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 readingOrder="2"/>
    </xf>
    <xf numFmtId="0" fontId="3" fillId="0" borderId="5" xfId="0" applyFont="1" applyBorder="1" applyAlignment="1">
      <alignment horizontal="center" vertical="center" readingOrder="2"/>
    </xf>
    <xf numFmtId="164" fontId="10" fillId="7" borderId="1" xfId="1" applyNumberFormat="1" applyFont="1" applyFill="1" applyBorder="1" applyAlignment="1">
      <alignment horizontal="center" vertical="center" readingOrder="2"/>
    </xf>
    <xf numFmtId="0" fontId="3" fillId="0" borderId="6" xfId="0" applyFont="1" applyBorder="1" applyAlignment="1">
      <alignment horizontal="center" wrapText="1" readingOrder="2"/>
    </xf>
    <xf numFmtId="0" fontId="3" fillId="0" borderId="5" xfId="0" applyFont="1" applyBorder="1" applyAlignment="1">
      <alignment horizontal="left" vertical="center" readingOrder="2"/>
    </xf>
    <xf numFmtId="164" fontId="7" fillId="0" borderId="2" xfId="1" applyNumberFormat="1" applyFont="1" applyFill="1" applyBorder="1" applyAlignment="1">
      <alignment horizontal="right" vertical="center" wrapText="1"/>
    </xf>
    <xf numFmtId="164" fontId="7" fillId="0" borderId="3" xfId="1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right" vertical="center" wrapText="1" readingOrder="2"/>
    </xf>
    <xf numFmtId="0" fontId="6" fillId="0" borderId="3" xfId="0" applyFont="1" applyFill="1" applyBorder="1" applyAlignment="1">
      <alignment horizontal="right" vertical="center" wrapText="1" readingOrder="2"/>
    </xf>
    <xf numFmtId="164" fontId="6" fillId="5" borderId="2" xfId="1" applyNumberFormat="1" applyFont="1" applyFill="1" applyBorder="1" applyAlignment="1">
      <alignment horizontal="center" vertical="center" wrapText="1" readingOrder="2"/>
    </xf>
    <xf numFmtId="164" fontId="6" fillId="5" borderId="3" xfId="1" applyNumberFormat="1" applyFont="1" applyFill="1" applyBorder="1" applyAlignment="1">
      <alignment horizontal="center" vertical="center" wrapText="1" readingOrder="2"/>
    </xf>
    <xf numFmtId="0" fontId="20" fillId="0" borderId="0" xfId="0" applyNumberFormat="1" applyFont="1" applyFill="1" applyBorder="1" applyAlignment="1">
      <alignment horizontal="center" wrapText="1"/>
    </xf>
    <xf numFmtId="0" fontId="28" fillId="19" borderId="2" xfId="0" applyFont="1" applyFill="1" applyBorder="1" applyAlignment="1">
      <alignment horizontal="center" vertical="center" wrapText="1" readingOrder="1"/>
    </xf>
    <xf numFmtId="0" fontId="28" fillId="19" borderId="6" xfId="0" applyFont="1" applyFill="1" applyBorder="1" applyAlignment="1">
      <alignment horizontal="center" vertical="center" wrapText="1" readingOrder="1"/>
    </xf>
    <xf numFmtId="0" fontId="28" fillId="19" borderId="3" xfId="0" applyFont="1" applyFill="1" applyBorder="1" applyAlignment="1">
      <alignment horizontal="center" vertical="center" wrapText="1" readingOrder="1"/>
    </xf>
    <xf numFmtId="0" fontId="3" fillId="20" borderId="1" xfId="2" applyFont="1" applyFill="1" applyBorder="1" applyAlignment="1">
      <alignment horizontal="center" vertical="center" readingOrder="2"/>
    </xf>
    <xf numFmtId="0" fontId="28" fillId="15" borderId="2" xfId="0" applyFont="1" applyFill="1" applyBorder="1" applyAlignment="1">
      <alignment horizontal="center" vertical="center"/>
    </xf>
    <xf numFmtId="0" fontId="28" fillId="15" borderId="6" xfId="0" applyFont="1" applyFill="1" applyBorder="1" applyAlignment="1">
      <alignment horizontal="center" vertical="center"/>
    </xf>
    <xf numFmtId="0" fontId="28" fillId="15" borderId="3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 readingOrder="2"/>
    </xf>
    <xf numFmtId="0" fontId="28" fillId="0" borderId="6" xfId="0" applyFont="1" applyFill="1" applyBorder="1" applyAlignment="1">
      <alignment horizontal="left" vertical="center" readingOrder="2"/>
    </xf>
    <xf numFmtId="0" fontId="28" fillId="0" borderId="3" xfId="0" applyFont="1" applyFill="1" applyBorder="1" applyAlignment="1">
      <alignment horizontal="left" vertical="center" readingOrder="2"/>
    </xf>
    <xf numFmtId="0" fontId="20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8" borderId="1" xfId="0" applyFont="1" applyFill="1" applyBorder="1" applyAlignment="1">
      <alignment horizontal="left" vertical="center" readingOrder="2"/>
    </xf>
    <xf numFmtId="0" fontId="3" fillId="18" borderId="1" xfId="0" applyFont="1" applyFill="1" applyBorder="1" applyAlignment="1">
      <alignment horizontal="left" vertical="center" readingOrder="2"/>
    </xf>
    <xf numFmtId="0" fontId="20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top"/>
    </xf>
    <xf numFmtId="0" fontId="20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3" fillId="6" borderId="9" xfId="0" applyFont="1" applyFill="1" applyBorder="1" applyAlignment="1">
      <alignment horizontal="left" vertical="center" readingOrder="1"/>
    </xf>
    <xf numFmtId="0" fontId="28" fillId="15" borderId="2" xfId="0" applyFont="1" applyFill="1" applyBorder="1" applyAlignment="1">
      <alignment horizontal="center" vertical="center" readingOrder="1"/>
    </xf>
    <xf numFmtId="0" fontId="28" fillId="15" borderId="6" xfId="0" applyFont="1" applyFill="1" applyBorder="1" applyAlignment="1">
      <alignment horizontal="center" vertical="center" readingOrder="1"/>
    </xf>
    <xf numFmtId="0" fontId="28" fillId="15" borderId="3" xfId="0" applyFont="1" applyFill="1" applyBorder="1" applyAlignment="1">
      <alignment horizontal="center" vertical="center" readingOrder="1"/>
    </xf>
    <xf numFmtId="0" fontId="28" fillId="0" borderId="2" xfId="0" applyFont="1" applyFill="1" applyBorder="1" applyAlignment="1">
      <alignment horizontal="left" vertical="center" readingOrder="1"/>
    </xf>
    <xf numFmtId="0" fontId="28" fillId="0" borderId="6" xfId="0" applyFont="1" applyFill="1" applyBorder="1" applyAlignment="1">
      <alignment horizontal="left" vertical="center" readingOrder="1"/>
    </xf>
    <xf numFmtId="0" fontId="28" fillId="0" borderId="3" xfId="0" applyFont="1" applyFill="1" applyBorder="1" applyAlignment="1">
      <alignment horizontal="left" vertical="center" readingOrder="1"/>
    </xf>
    <xf numFmtId="0" fontId="20" fillId="0" borderId="2" xfId="0" applyFont="1" applyFill="1" applyBorder="1" applyAlignment="1">
      <alignment horizontal="left" vertical="center" readingOrder="1"/>
    </xf>
    <xf numFmtId="0" fontId="20" fillId="0" borderId="6" xfId="0" applyFont="1" applyFill="1" applyBorder="1" applyAlignment="1">
      <alignment horizontal="left" vertical="center" readingOrder="1"/>
    </xf>
    <xf numFmtId="0" fontId="20" fillId="0" borderId="3" xfId="0" applyFont="1" applyFill="1" applyBorder="1" applyAlignment="1">
      <alignment horizontal="left" vertical="center" readingOrder="1"/>
    </xf>
    <xf numFmtId="43" fontId="6" fillId="5" borderId="9" xfId="1" applyFont="1" applyFill="1" applyBorder="1" applyAlignment="1">
      <alignment horizontal="left" vertical="center" wrapText="1"/>
    </xf>
    <xf numFmtId="43" fontId="6" fillId="5" borderId="11" xfId="1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readingOrder="1"/>
    </xf>
    <xf numFmtId="0" fontId="3" fillId="8" borderId="3" xfId="0" applyFont="1" applyFill="1" applyBorder="1" applyAlignment="1">
      <alignment horizontal="left" vertical="center" readingOrder="1"/>
    </xf>
    <xf numFmtId="0" fontId="3" fillId="18" borderId="1" xfId="0" applyFont="1" applyFill="1" applyBorder="1" applyAlignment="1">
      <alignment horizontal="left" vertical="center" readingOrder="1"/>
    </xf>
    <xf numFmtId="0" fontId="3" fillId="0" borderId="0" xfId="0" applyFont="1" applyAlignment="1">
      <alignment horizontal="left"/>
    </xf>
    <xf numFmtId="0" fontId="20" fillId="0" borderId="5" xfId="0" applyNumberFormat="1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horizontal="left"/>
    </xf>
    <xf numFmtId="0" fontId="3" fillId="7" borderId="2" xfId="0" applyFont="1" applyFill="1" applyBorder="1" applyAlignment="1">
      <alignment horizontal="left" vertical="center" wrapText="1" readingOrder="1"/>
    </xf>
    <xf numFmtId="0" fontId="3" fillId="7" borderId="3" xfId="0" applyFont="1" applyFill="1" applyBorder="1" applyAlignment="1">
      <alignment horizontal="left" vertical="center" wrapText="1" readingOrder="1"/>
    </xf>
    <xf numFmtId="0" fontId="3" fillId="6" borderId="2" xfId="0" applyFont="1" applyFill="1" applyBorder="1" applyAlignment="1">
      <alignment horizontal="center" vertical="center" readingOrder="2"/>
    </xf>
    <xf numFmtId="0" fontId="3" fillId="6" borderId="3" xfId="0" applyFont="1" applyFill="1" applyBorder="1" applyAlignment="1">
      <alignment horizontal="center" vertical="center" readingOrder="2"/>
    </xf>
    <xf numFmtId="0" fontId="4" fillId="7" borderId="2" xfId="0" applyFont="1" applyFill="1" applyBorder="1" applyAlignment="1">
      <alignment horizontal="left" vertical="center" wrapText="1" readingOrder="1"/>
    </xf>
    <xf numFmtId="0" fontId="4" fillId="7" borderId="3" xfId="0" applyFont="1" applyFill="1" applyBorder="1" applyAlignment="1">
      <alignment horizontal="left" vertical="center" wrapText="1" readingOrder="1"/>
    </xf>
    <xf numFmtId="164" fontId="14" fillId="21" borderId="1" xfId="1" applyNumberFormat="1" applyFont="1" applyFill="1" applyBorder="1" applyAlignment="1">
      <alignment horizontal="center" vertical="center" wrapText="1" readingOrder="1"/>
    </xf>
    <xf numFmtId="0" fontId="3" fillId="7" borderId="2" xfId="0" applyFont="1" applyFill="1" applyBorder="1" applyAlignment="1">
      <alignment horizontal="left" vertical="center" readingOrder="1"/>
    </xf>
    <xf numFmtId="0" fontId="3" fillId="7" borderId="3" xfId="0" applyFont="1" applyFill="1" applyBorder="1" applyAlignment="1">
      <alignment horizontal="left" vertical="center" readingOrder="1"/>
    </xf>
    <xf numFmtId="0" fontId="19" fillId="8" borderId="1" xfId="0" applyFont="1" applyFill="1" applyBorder="1" applyAlignment="1">
      <alignment vertical="center" readingOrder="1"/>
    </xf>
    <xf numFmtId="0" fontId="19" fillId="8" borderId="1" xfId="0" applyFont="1" applyFill="1" applyBorder="1" applyAlignment="1">
      <alignment horizontal="center" vertical="center" readingOrder="1"/>
    </xf>
    <xf numFmtId="0" fontId="20" fillId="0" borderId="0" xfId="0" applyNumberFormat="1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center" vertical="center" readingOrder="1"/>
    </xf>
    <xf numFmtId="0" fontId="4" fillId="4" borderId="3" xfId="0" applyFont="1" applyFill="1" applyBorder="1" applyAlignment="1">
      <alignment horizontal="center" vertical="center" readingOrder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readingOrder="2"/>
    </xf>
    <xf numFmtId="0" fontId="3" fillId="10" borderId="6" xfId="0" applyFont="1" applyFill="1" applyBorder="1" applyAlignment="1">
      <alignment horizontal="center" vertical="center" readingOrder="2"/>
    </xf>
    <xf numFmtId="164" fontId="40" fillId="7" borderId="1" xfId="1" applyNumberFormat="1" applyFont="1" applyFill="1" applyBorder="1" applyAlignment="1">
      <alignment horizontal="center" vertical="center" wrapText="1" readingOrder="1"/>
    </xf>
    <xf numFmtId="164" fontId="40" fillId="7" borderId="9" xfId="1" applyNumberFormat="1" applyFont="1" applyFill="1" applyBorder="1" applyAlignment="1">
      <alignment horizontal="center" vertical="center" wrapText="1" readingOrder="1"/>
    </xf>
    <xf numFmtId="0" fontId="43" fillId="6" borderId="1" xfId="0" applyFont="1" applyFill="1" applyBorder="1" applyAlignment="1">
      <alignment horizontal="left" vertical="center"/>
    </xf>
    <xf numFmtId="0" fontId="41" fillId="17" borderId="1" xfId="0" applyFont="1" applyFill="1" applyBorder="1" applyAlignment="1">
      <alignment horizontal="center" vertical="center" wrapText="1" readingOrder="1"/>
    </xf>
    <xf numFmtId="0" fontId="43" fillId="8" borderId="1" xfId="0" applyFont="1" applyFill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1" fillId="6" borderId="1" xfId="0" applyFont="1" applyFill="1" applyBorder="1" applyAlignment="1">
      <alignment horizontal="left" vertical="center" wrapText="1"/>
    </xf>
    <xf numFmtId="0" fontId="48" fillId="8" borderId="1" xfId="0" applyFont="1" applyFill="1" applyBorder="1" applyAlignment="1">
      <alignment horizontal="left" vertical="center"/>
    </xf>
    <xf numFmtId="0" fontId="44" fillId="0" borderId="1" xfId="0" applyFont="1" applyBorder="1" applyAlignment="1">
      <alignment horizontal="left" vertical="center" wrapText="1"/>
    </xf>
    <xf numFmtId="0" fontId="48" fillId="6" borderId="1" xfId="0" applyFont="1" applyFill="1" applyBorder="1" applyAlignment="1">
      <alignment horizontal="left" vertical="center" wrapText="1"/>
    </xf>
    <xf numFmtId="0" fontId="43" fillId="8" borderId="1" xfId="0" applyFont="1" applyFill="1" applyBorder="1" applyAlignment="1">
      <alignment horizontal="center" vertical="center" readingOrder="1"/>
    </xf>
    <xf numFmtId="0" fontId="43" fillId="8" borderId="1" xfId="0" applyFont="1" applyFill="1" applyBorder="1" applyAlignment="1">
      <alignment horizontal="left"/>
    </xf>
    <xf numFmtId="0" fontId="41" fillId="0" borderId="1" xfId="0" applyFont="1" applyFill="1" applyBorder="1" applyAlignment="1">
      <alignment horizontal="center" vertical="center"/>
    </xf>
    <xf numFmtId="0" fontId="43" fillId="0" borderId="5" xfId="0" applyFont="1" applyBorder="1" applyAlignment="1">
      <alignment horizontal="center" vertical="top"/>
    </xf>
    <xf numFmtId="0" fontId="43" fillId="0" borderId="0" xfId="0" applyFont="1" applyBorder="1" applyAlignment="1">
      <alignment horizontal="center" vertical="center"/>
    </xf>
    <xf numFmtId="0" fontId="43" fillId="10" borderId="1" xfId="0" applyFont="1" applyFill="1" applyBorder="1" applyAlignment="1">
      <alignment horizontal="left" vertical="center"/>
    </xf>
    <xf numFmtId="0" fontId="43" fillId="21" borderId="1" xfId="0" applyFont="1" applyFill="1" applyBorder="1" applyAlignment="1">
      <alignment horizontal="left" vertical="center"/>
    </xf>
    <xf numFmtId="0" fontId="4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9" fillId="0" borderId="5" xfId="0" applyNumberFormat="1" applyFont="1" applyFill="1" applyBorder="1" applyAlignment="1">
      <alignment horizontal="center" vertical="top"/>
    </xf>
    <xf numFmtId="0" fontId="49" fillId="0" borderId="0" xfId="0" applyNumberFormat="1" applyFont="1" applyFill="1" applyBorder="1" applyAlignment="1">
      <alignment horizontal="center" vertical="center"/>
    </xf>
    <xf numFmtId="0" fontId="49" fillId="0" borderId="0" xfId="0" applyNumberFormat="1" applyFont="1" applyFill="1" applyBorder="1" applyAlignment="1">
      <alignment horizontal="center" vertical="top" wrapText="1"/>
    </xf>
    <xf numFmtId="0" fontId="43" fillId="0" borderId="0" xfId="0" applyNumberFormat="1" applyFont="1" applyAlignment="1">
      <alignment horizontal="center"/>
    </xf>
    <xf numFmtId="0" fontId="43" fillId="0" borderId="0" xfId="0" applyFont="1" applyAlignment="1">
      <alignment horizontal="center" vertical="top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left" vertical="center"/>
    </xf>
    <xf numFmtId="0" fontId="43" fillId="0" borderId="0" xfId="0" applyFont="1" applyAlignment="1">
      <alignment horizontal="left" vertical="top"/>
    </xf>
    <xf numFmtId="0" fontId="26" fillId="0" borderId="31" xfId="0" applyFont="1" applyFill="1" applyBorder="1" applyAlignment="1">
      <alignment horizontal="center" vertical="center" readingOrder="1"/>
    </xf>
    <xf numFmtId="0" fontId="26" fillId="0" borderId="32" xfId="0" applyFont="1" applyFill="1" applyBorder="1" applyAlignment="1">
      <alignment horizontal="center" vertical="center" readingOrder="1"/>
    </xf>
    <xf numFmtId="0" fontId="26" fillId="0" borderId="33" xfId="0" applyFont="1" applyFill="1" applyBorder="1" applyAlignment="1">
      <alignment horizontal="center" vertical="center" readingOrder="1"/>
    </xf>
    <xf numFmtId="0" fontId="32" fillId="0" borderId="16" xfId="0" applyFont="1" applyFill="1" applyBorder="1" applyAlignment="1">
      <alignment horizontal="center" vertical="center" readingOrder="1"/>
    </xf>
    <xf numFmtId="0" fontId="32" fillId="0" borderId="17" xfId="0" applyFont="1" applyFill="1" applyBorder="1" applyAlignment="1">
      <alignment horizontal="center" vertical="center" readingOrder="1"/>
    </xf>
    <xf numFmtId="0" fontId="32" fillId="0" borderId="18" xfId="0" applyFont="1" applyFill="1" applyBorder="1" applyAlignment="1">
      <alignment horizontal="center" vertical="center" readingOrder="1"/>
    </xf>
    <xf numFmtId="0" fontId="32" fillId="0" borderId="19" xfId="0" applyFont="1" applyFill="1" applyBorder="1" applyAlignment="1">
      <alignment horizontal="center" vertical="center" readingOrder="1"/>
    </xf>
    <xf numFmtId="0" fontId="32" fillId="0" borderId="20" xfId="0" applyFont="1" applyFill="1" applyBorder="1" applyAlignment="1">
      <alignment horizontal="center" vertical="center" readingOrder="1"/>
    </xf>
    <xf numFmtId="0" fontId="32" fillId="0" borderId="21" xfId="0" applyFont="1" applyFill="1" applyBorder="1" applyAlignment="1">
      <alignment horizontal="center" vertical="center" readingOrder="1"/>
    </xf>
    <xf numFmtId="41" fontId="29" fillId="21" borderId="1" xfId="0" applyNumberFormat="1" applyFont="1" applyFill="1" applyBorder="1" applyAlignment="1">
      <alignment horizontal="center" vertical="center"/>
    </xf>
    <xf numFmtId="41" fontId="29" fillId="22" borderId="1" xfId="0" applyNumberFormat="1" applyFont="1" applyFill="1" applyBorder="1" applyAlignment="1">
      <alignment horizontal="center" vertical="center" readingOrder="1"/>
    </xf>
    <xf numFmtId="0" fontId="4" fillId="6" borderId="1" xfId="0" applyFont="1" applyFill="1" applyBorder="1" applyAlignment="1">
      <alignment horizontal="center" vertical="center" readingOrder="2"/>
    </xf>
    <xf numFmtId="0" fontId="4" fillId="3" borderId="1" xfId="0" applyFont="1" applyFill="1" applyBorder="1" applyAlignment="1">
      <alignment horizontal="left" vertical="center" readingOrder="1"/>
    </xf>
    <xf numFmtId="0" fontId="4" fillId="3" borderId="1" xfId="0" applyFont="1" applyFill="1" applyBorder="1" applyAlignment="1">
      <alignment horizontal="left" vertical="center" wrapText="1" readingOrder="1"/>
    </xf>
    <xf numFmtId="0" fontId="4" fillId="6" borderId="1" xfId="0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 readingOrder="1"/>
    </xf>
    <xf numFmtId="43" fontId="4" fillId="6" borderId="1" xfId="1" applyFont="1" applyFill="1" applyBorder="1" applyAlignment="1">
      <alignment horizontal="center" vertical="center" readingOrder="1"/>
    </xf>
    <xf numFmtId="0" fontId="0" fillId="3" borderId="1" xfId="0" applyFont="1" applyFill="1" applyBorder="1" applyAlignment="1">
      <alignment horizontal="right" vertical="center" readingOrder="1"/>
    </xf>
    <xf numFmtId="0" fontId="3" fillId="12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readingOrder="1"/>
    </xf>
    <xf numFmtId="0" fontId="3" fillId="4" borderId="1" xfId="0" applyFont="1" applyFill="1" applyBorder="1" applyAlignment="1">
      <alignment horizontal="center" vertical="center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3" fillId="4" borderId="7" xfId="0" applyFont="1" applyFill="1" applyBorder="1" applyAlignment="1">
      <alignment horizontal="left" vertical="center" readingOrder="1"/>
    </xf>
    <xf numFmtId="0" fontId="3" fillId="4" borderId="1" xfId="0" applyFont="1" applyFill="1" applyBorder="1" applyAlignment="1">
      <alignment horizontal="left" vertical="center" readingOrder="1"/>
    </xf>
    <xf numFmtId="0" fontId="25" fillId="5" borderId="2" xfId="0" applyFont="1" applyFill="1" applyBorder="1" applyAlignment="1">
      <alignment horizontal="left" vertical="center" readingOrder="1"/>
    </xf>
    <xf numFmtId="0" fontId="25" fillId="5" borderId="3" xfId="0" applyFont="1" applyFill="1" applyBorder="1" applyAlignment="1">
      <alignment horizontal="left" vertical="center" readingOrder="1"/>
    </xf>
    <xf numFmtId="0" fontId="25" fillId="5" borderId="2" xfId="0" applyFont="1" applyFill="1" applyBorder="1" applyAlignment="1">
      <alignment horizontal="left" vertical="center" wrapText="1" readingOrder="1"/>
    </xf>
    <xf numFmtId="0" fontId="25" fillId="5" borderId="3" xfId="0" applyFont="1" applyFill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 readingOrder="1"/>
    </xf>
    <xf numFmtId="0" fontId="12" fillId="0" borderId="6" xfId="0" applyFont="1" applyFill="1" applyBorder="1" applyAlignment="1">
      <alignment horizontal="left" vertical="center" wrapText="1" readingOrder="1"/>
    </xf>
    <xf numFmtId="0" fontId="12" fillId="0" borderId="3" xfId="0" applyFont="1" applyFill="1" applyBorder="1" applyAlignment="1">
      <alignment horizontal="left" vertical="center" wrapText="1" readingOrder="1"/>
    </xf>
    <xf numFmtId="0" fontId="12" fillId="0" borderId="2" xfId="0" applyFont="1" applyFill="1" applyBorder="1" applyAlignment="1">
      <alignment horizontal="left" vertical="center" readingOrder="1"/>
    </xf>
    <xf numFmtId="0" fontId="12" fillId="0" borderId="6" xfId="0" applyFont="1" applyFill="1" applyBorder="1" applyAlignment="1">
      <alignment horizontal="left" vertical="center" readingOrder="1"/>
    </xf>
    <xf numFmtId="0" fontId="12" fillId="0" borderId="3" xfId="0" applyFont="1" applyFill="1" applyBorder="1" applyAlignment="1">
      <alignment horizontal="left" vertical="center" readingOrder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 readingOrder="1"/>
    </xf>
    <xf numFmtId="0" fontId="12" fillId="4" borderId="9" xfId="0" applyFont="1" applyFill="1" applyBorder="1" applyAlignment="1">
      <alignment horizontal="center" vertical="center" readingOrder="1"/>
    </xf>
    <xf numFmtId="0" fontId="12" fillId="4" borderId="11" xfId="0" applyFont="1" applyFill="1" applyBorder="1" applyAlignment="1">
      <alignment horizontal="center" vertical="center" readingOrder="1"/>
    </xf>
    <xf numFmtId="0" fontId="12" fillId="4" borderId="1" xfId="0" applyFont="1" applyFill="1" applyBorder="1" applyAlignment="1">
      <alignment horizontal="center" vertical="center" wrapText="1" readingOrder="1"/>
    </xf>
    <xf numFmtId="0" fontId="12" fillId="4" borderId="1" xfId="0" applyFont="1" applyFill="1" applyBorder="1" applyAlignment="1">
      <alignment horizontal="center" vertical="center" readingOrder="1"/>
    </xf>
    <xf numFmtId="0" fontId="12" fillId="4" borderId="8" xfId="0" applyFont="1" applyFill="1" applyBorder="1" applyAlignment="1">
      <alignment horizontal="center" vertical="center" readingOrder="1"/>
    </xf>
    <xf numFmtId="0" fontId="12" fillId="14" borderId="1" xfId="0" applyFont="1" applyFill="1" applyBorder="1" applyAlignment="1">
      <alignment horizontal="center" vertical="center" wrapText="1"/>
    </xf>
  </cellXfs>
  <cellStyles count="5">
    <cellStyle name="40% - Accent6" xfId="2" builtinId="51"/>
    <cellStyle name="Comma" xfId="1" builtinId="3"/>
    <cellStyle name="Comm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18"/>
  <sheetViews>
    <sheetView rightToLeft="1" view="pageBreakPreview" zoomScale="70" zoomScaleSheetLayoutView="70" workbookViewId="0">
      <pane ySplit="5" topLeftCell="A6" activePane="bottomLeft" state="frozen"/>
      <selection pane="bottomLeft" activeCell="D9" sqref="D9"/>
    </sheetView>
  </sheetViews>
  <sheetFormatPr defaultColWidth="9.125" defaultRowHeight="15"/>
  <cols>
    <col min="1" max="1" width="6.875" style="120" customWidth="1"/>
    <col min="2" max="2" width="57.125" style="120" customWidth="1"/>
    <col min="3" max="3" width="14.125" style="120" customWidth="1"/>
    <col min="4" max="4" width="15.75" style="120" customWidth="1"/>
    <col min="5" max="5" width="15" style="120" customWidth="1"/>
    <col min="6" max="6" width="16.625" style="120" customWidth="1"/>
    <col min="7" max="7" width="15.25" style="120" customWidth="1"/>
    <col min="8" max="8" width="20.875" style="120" customWidth="1"/>
    <col min="9" max="9" width="18.75" style="120" customWidth="1"/>
    <col min="10" max="10" width="17.875" style="120" customWidth="1"/>
    <col min="11" max="11" width="18.625" style="120" customWidth="1"/>
    <col min="12" max="12" width="18.75" style="120" customWidth="1"/>
    <col min="13" max="13" width="17.125" style="120" customWidth="1"/>
    <col min="14" max="16384" width="9.125" style="120"/>
  </cols>
  <sheetData>
    <row r="1" spans="1:13" ht="53.25" customHeight="1">
      <c r="A1" s="722" t="s">
        <v>56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</row>
    <row r="2" spans="1:13" ht="26.25" customHeight="1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</row>
    <row r="3" spans="1:13" ht="35.25" customHeight="1">
      <c r="A3" s="724" t="s">
        <v>287</v>
      </c>
      <c r="B3" s="724"/>
      <c r="C3" s="724"/>
      <c r="D3" s="724"/>
      <c r="E3" s="724"/>
      <c r="F3" s="724"/>
      <c r="G3" s="724"/>
      <c r="H3" s="724"/>
      <c r="I3" s="724"/>
      <c r="J3" s="724"/>
      <c r="K3" s="724"/>
      <c r="L3" s="724"/>
      <c r="M3" s="724"/>
    </row>
    <row r="4" spans="1:13" ht="29.25" customHeight="1">
      <c r="A4" s="725" t="s">
        <v>57</v>
      </c>
      <c r="B4" s="725"/>
      <c r="C4" s="725"/>
      <c r="D4" s="725"/>
      <c r="E4" s="725"/>
      <c r="F4" s="725"/>
      <c r="G4" s="725"/>
      <c r="H4" s="725"/>
      <c r="I4" s="725"/>
      <c r="J4" s="725"/>
      <c r="K4" s="725"/>
      <c r="L4" s="725"/>
      <c r="M4" s="725"/>
    </row>
    <row r="5" spans="1:13" ht="38.25" customHeight="1">
      <c r="A5" s="29" t="s">
        <v>58</v>
      </c>
      <c r="B5" s="327" t="s">
        <v>30</v>
      </c>
      <c r="C5" s="327" t="s">
        <v>3</v>
      </c>
      <c r="D5" s="327" t="s">
        <v>4</v>
      </c>
      <c r="E5" s="327" t="s">
        <v>5</v>
      </c>
      <c r="F5" s="327" t="s">
        <v>6</v>
      </c>
      <c r="G5" s="327" t="s">
        <v>59</v>
      </c>
      <c r="H5" s="327" t="s">
        <v>8</v>
      </c>
      <c r="I5" s="328" t="s">
        <v>148</v>
      </c>
      <c r="J5" s="328" t="s">
        <v>149</v>
      </c>
      <c r="K5" s="30" t="s">
        <v>61</v>
      </c>
      <c r="L5" s="31" t="s">
        <v>62</v>
      </c>
      <c r="M5" s="136" t="s">
        <v>12</v>
      </c>
    </row>
    <row r="6" spans="1:13" ht="22.5" customHeight="1">
      <c r="A6" s="108">
        <v>1</v>
      </c>
      <c r="B6" s="134" t="s">
        <v>306</v>
      </c>
      <c r="C6" s="329" t="s">
        <v>20</v>
      </c>
      <c r="D6" s="167">
        <v>80000</v>
      </c>
      <c r="E6" s="168">
        <v>50</v>
      </c>
      <c r="F6" s="168">
        <f t="shared" ref="F6:F12" si="0">400/E6</f>
        <v>8</v>
      </c>
      <c r="G6" s="168">
        <f>D6*1/E6</f>
        <v>1600</v>
      </c>
      <c r="H6" s="168">
        <f>F6*D6</f>
        <v>640000</v>
      </c>
      <c r="I6" s="167"/>
      <c r="J6" s="169"/>
      <c r="K6" s="169"/>
      <c r="L6" s="170"/>
      <c r="M6" s="18"/>
    </row>
    <row r="7" spans="1:13" ht="22.5" customHeight="1">
      <c r="A7" s="108">
        <v>2</v>
      </c>
      <c r="B7" s="135" t="s">
        <v>270</v>
      </c>
      <c r="C7" s="329" t="s">
        <v>41</v>
      </c>
      <c r="D7" s="167">
        <v>20000</v>
      </c>
      <c r="E7" s="168">
        <v>50</v>
      </c>
      <c r="F7" s="168">
        <f t="shared" si="0"/>
        <v>8</v>
      </c>
      <c r="G7" s="168">
        <f t="shared" ref="G7:G12" si="1">D7*1/E7</f>
        <v>400</v>
      </c>
      <c r="H7" s="168">
        <f t="shared" ref="H7:H12" si="2">F7*D7</f>
        <v>160000</v>
      </c>
      <c r="I7" s="167"/>
      <c r="J7" s="169"/>
      <c r="K7" s="169"/>
      <c r="L7" s="170"/>
      <c r="M7" s="18"/>
    </row>
    <row r="8" spans="1:13" ht="22.5" customHeight="1">
      <c r="A8" s="108">
        <v>4</v>
      </c>
      <c r="B8" s="134" t="s">
        <v>153</v>
      </c>
      <c r="C8" s="329" t="s">
        <v>26</v>
      </c>
      <c r="D8" s="167">
        <v>200000</v>
      </c>
      <c r="E8" s="168">
        <v>200</v>
      </c>
      <c r="F8" s="168">
        <f t="shared" si="0"/>
        <v>2</v>
      </c>
      <c r="G8" s="168">
        <f t="shared" si="1"/>
        <v>1000</v>
      </c>
      <c r="H8" s="168">
        <f t="shared" si="2"/>
        <v>400000</v>
      </c>
      <c r="I8" s="167"/>
      <c r="J8" s="169"/>
      <c r="K8" s="169"/>
      <c r="L8" s="170"/>
      <c r="M8" s="18"/>
    </row>
    <row r="9" spans="1:13" ht="22.5" customHeight="1">
      <c r="A9" s="108">
        <v>5</v>
      </c>
      <c r="B9" s="190" t="s">
        <v>271</v>
      </c>
      <c r="C9" s="329" t="s">
        <v>20</v>
      </c>
      <c r="D9" s="167">
        <f>100*2000*3</f>
        <v>600000</v>
      </c>
      <c r="E9" s="168">
        <v>100</v>
      </c>
      <c r="F9" s="168">
        <f t="shared" si="0"/>
        <v>4</v>
      </c>
      <c r="G9" s="168">
        <f t="shared" si="1"/>
        <v>6000</v>
      </c>
      <c r="H9" s="168">
        <f t="shared" si="2"/>
        <v>2400000</v>
      </c>
      <c r="I9" s="167"/>
      <c r="J9" s="169"/>
      <c r="K9" s="169"/>
      <c r="L9" s="170"/>
      <c r="M9" s="18"/>
    </row>
    <row r="10" spans="1:13" s="36" customFormat="1" ht="22.5" customHeight="1">
      <c r="A10" s="108">
        <v>6</v>
      </c>
      <c r="B10" s="190" t="s">
        <v>245</v>
      </c>
      <c r="C10" s="108" t="s">
        <v>28</v>
      </c>
      <c r="D10" s="171">
        <v>200000</v>
      </c>
      <c r="E10" s="171">
        <v>200</v>
      </c>
      <c r="F10" s="168">
        <f t="shared" si="0"/>
        <v>2</v>
      </c>
      <c r="G10" s="168">
        <f t="shared" si="1"/>
        <v>1000</v>
      </c>
      <c r="H10" s="168">
        <f t="shared" si="2"/>
        <v>400000</v>
      </c>
      <c r="I10" s="171"/>
      <c r="J10" s="169"/>
      <c r="K10" s="172"/>
      <c r="L10" s="173"/>
      <c r="M10" s="35"/>
    </row>
    <row r="11" spans="1:13" ht="22.5" customHeight="1">
      <c r="A11" s="108">
        <v>7</v>
      </c>
      <c r="B11" s="191" t="s">
        <v>307</v>
      </c>
      <c r="C11" s="41" t="s">
        <v>227</v>
      </c>
      <c r="D11" s="362">
        <v>100</v>
      </c>
      <c r="E11" s="162">
        <v>1</v>
      </c>
      <c r="F11" s="168">
        <f t="shared" si="0"/>
        <v>400</v>
      </c>
      <c r="G11" s="168">
        <f t="shared" si="1"/>
        <v>100</v>
      </c>
      <c r="H11" s="168">
        <f t="shared" si="2"/>
        <v>40000</v>
      </c>
      <c r="I11" s="169"/>
      <c r="J11" s="169"/>
      <c r="K11" s="169"/>
      <c r="L11" s="169"/>
      <c r="M11" s="17"/>
    </row>
    <row r="12" spans="1:13" ht="22.5" customHeight="1">
      <c r="A12" s="108">
        <v>8</v>
      </c>
      <c r="B12" s="191" t="s">
        <v>246</v>
      </c>
      <c r="C12" s="329" t="s">
        <v>269</v>
      </c>
      <c r="D12" s="362">
        <v>200000</v>
      </c>
      <c r="E12" s="162">
        <v>50</v>
      </c>
      <c r="F12" s="168">
        <f t="shared" si="0"/>
        <v>8</v>
      </c>
      <c r="G12" s="168">
        <f t="shared" si="1"/>
        <v>4000</v>
      </c>
      <c r="H12" s="168">
        <f t="shared" si="2"/>
        <v>1600000</v>
      </c>
      <c r="I12" s="167"/>
      <c r="J12" s="169"/>
      <c r="K12" s="169"/>
      <c r="L12" s="169"/>
      <c r="M12" s="18"/>
    </row>
    <row r="13" spans="1:13" ht="28.5" customHeight="1">
      <c r="A13" s="726" t="s">
        <v>233</v>
      </c>
      <c r="B13" s="726"/>
      <c r="C13" s="69"/>
      <c r="D13" s="70"/>
      <c r="E13" s="70"/>
      <c r="F13" s="70"/>
      <c r="G13" s="71"/>
      <c r="H13" s="71">
        <f>SUM(H6:H12)</f>
        <v>5640000</v>
      </c>
      <c r="I13" s="71"/>
      <c r="J13" s="71"/>
      <c r="K13" s="183"/>
      <c r="L13" s="184"/>
      <c r="M13" s="184"/>
    </row>
    <row r="14" spans="1:13" ht="24" customHeight="1">
      <c r="A14" s="727" t="s">
        <v>234</v>
      </c>
      <c r="B14" s="727"/>
      <c r="C14" s="178"/>
      <c r="D14" s="179"/>
      <c r="E14" s="179"/>
      <c r="F14" s="179"/>
      <c r="G14" s="180"/>
      <c r="H14" s="180">
        <f>H13/68.34</f>
        <v>82528.533801580328</v>
      </c>
      <c r="I14" s="180"/>
      <c r="J14" s="180"/>
      <c r="K14" s="181"/>
      <c r="L14" s="182"/>
      <c r="M14" s="182"/>
    </row>
    <row r="15" spans="1:13" s="244" customFormat="1" ht="26.25" customHeight="1">
      <c r="A15" s="721" t="s">
        <v>285</v>
      </c>
      <c r="B15" s="721"/>
      <c r="C15" s="721"/>
      <c r="D15" s="68"/>
      <c r="E15" s="68"/>
      <c r="F15" s="176"/>
      <c r="G15" s="68" t="s">
        <v>44</v>
      </c>
      <c r="H15" s="68" t="s">
        <v>217</v>
      </c>
      <c r="J15" s="248"/>
      <c r="L15" s="68"/>
    </row>
    <row r="16" spans="1:13" s="244" customFormat="1" ht="26.25" customHeight="1">
      <c r="A16" s="267" t="s">
        <v>297</v>
      </c>
      <c r="B16" s="268"/>
      <c r="C16" s="324"/>
      <c r="D16" s="270"/>
      <c r="E16" s="324" t="s">
        <v>49</v>
      </c>
      <c r="F16" s="270"/>
      <c r="G16" s="39"/>
      <c r="H16" s="324"/>
      <c r="I16" s="270"/>
      <c r="J16" s="270"/>
      <c r="K16" s="324"/>
      <c r="L16" s="39"/>
    </row>
    <row r="17" spans="1:12" s="244" customFormat="1" ht="26.25" customHeight="1">
      <c r="A17" s="271"/>
      <c r="B17" s="272"/>
      <c r="C17" s="325"/>
      <c r="D17" s="271"/>
      <c r="E17" s="325" t="s">
        <v>54</v>
      </c>
      <c r="F17" s="271"/>
      <c r="G17" s="271"/>
      <c r="H17" s="325"/>
      <c r="I17" s="271"/>
      <c r="J17" s="271"/>
      <c r="K17" s="326"/>
      <c r="L17" s="323" t="s">
        <v>81</v>
      </c>
    </row>
    <row r="18" spans="1:12" ht="15" hidden="1" customHeight="1">
      <c r="A18" s="242"/>
      <c r="B18" s="245"/>
      <c r="C18" s="245"/>
      <c r="D18" s="246"/>
      <c r="E18" s="246"/>
      <c r="F18" s="246"/>
      <c r="G18" s="246"/>
      <c r="H18" s="246"/>
      <c r="I18" s="246"/>
      <c r="J18" s="246"/>
    </row>
  </sheetData>
  <mergeCells count="7">
    <mergeCell ref="A15:C15"/>
    <mergeCell ref="A1:M1"/>
    <mergeCell ref="A2:M2"/>
    <mergeCell ref="A3:M3"/>
    <mergeCell ref="A4:M4"/>
    <mergeCell ref="A13:B13"/>
    <mergeCell ref="A14:B14"/>
  </mergeCells>
  <pageMargins left="0.7" right="0.7" top="0.75" bottom="0.75" header="0.3" footer="0.3"/>
  <pageSetup paperSize="9" scale="5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32"/>
  <sheetViews>
    <sheetView rightToLeft="1" view="pageBreakPreview" topLeftCell="A10" zoomScale="70" zoomScaleSheetLayoutView="70" workbookViewId="0">
      <selection activeCell="A20" sqref="A20:L20"/>
    </sheetView>
  </sheetViews>
  <sheetFormatPr defaultColWidth="9.125" defaultRowHeight="15"/>
  <cols>
    <col min="1" max="1" width="7" style="120" customWidth="1"/>
    <col min="2" max="2" width="48.25" style="120" customWidth="1"/>
    <col min="3" max="3" width="10" style="120" customWidth="1"/>
    <col min="4" max="4" width="17" style="120" bestFit="1" customWidth="1"/>
    <col min="5" max="5" width="13.25" style="120" customWidth="1"/>
    <col min="6" max="6" width="14.625" style="120" customWidth="1"/>
    <col min="7" max="7" width="14.75" style="120" customWidth="1"/>
    <col min="8" max="8" width="18.625" style="120" customWidth="1"/>
    <col min="9" max="9" width="13.125" style="218" customWidth="1"/>
    <col min="10" max="10" width="13.125" style="212" customWidth="1"/>
    <col min="11" max="11" width="19.875" style="212" customWidth="1"/>
    <col min="12" max="12" width="48.375" style="120" customWidth="1"/>
    <col min="13" max="13" width="10.75" style="120" bestFit="1" customWidth="1"/>
    <col min="14" max="14" width="17.625" style="120" customWidth="1"/>
    <col min="15" max="15" width="17" style="120" customWidth="1"/>
    <col min="16" max="16" width="24.125" style="120" customWidth="1"/>
    <col min="17" max="17" width="9.125" style="120"/>
    <col min="18" max="18" width="11.75" style="120" customWidth="1"/>
    <col min="19" max="19" width="9.125" style="120"/>
    <col min="20" max="20" width="13.375" style="120" customWidth="1"/>
    <col min="21" max="16384" width="9.125" style="120"/>
  </cols>
  <sheetData>
    <row r="1" spans="1:18" ht="60.75" customHeight="1">
      <c r="A1" s="750" t="s">
        <v>274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</row>
    <row r="2" spans="1:18" ht="27.75" customHeight="1">
      <c r="A2" s="751" t="s">
        <v>215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N2" s="34"/>
    </row>
    <row r="3" spans="1:18" s="141" customFormat="1" ht="32.25" customHeight="1">
      <c r="A3" s="745" t="s">
        <v>148</v>
      </c>
      <c r="B3" s="745"/>
      <c r="C3" s="745"/>
      <c r="D3" s="745"/>
      <c r="E3" s="745"/>
      <c r="F3" s="745"/>
      <c r="G3" s="745"/>
      <c r="H3" s="745"/>
      <c r="I3" s="745"/>
      <c r="J3" s="745"/>
      <c r="K3" s="745"/>
      <c r="L3" s="745"/>
    </row>
    <row r="4" spans="1:18" s="379" customFormat="1" ht="35.25" customHeight="1">
      <c r="A4" s="746" t="s">
        <v>2</v>
      </c>
      <c r="B4" s="746"/>
      <c r="C4" s="366" t="s">
        <v>3</v>
      </c>
      <c r="D4" s="366" t="s">
        <v>4</v>
      </c>
      <c r="E4" s="366" t="s">
        <v>5</v>
      </c>
      <c r="F4" s="366" t="s">
        <v>6</v>
      </c>
      <c r="G4" s="366" t="s">
        <v>59</v>
      </c>
      <c r="H4" s="366" t="s">
        <v>60</v>
      </c>
      <c r="I4" s="215" t="s">
        <v>9</v>
      </c>
      <c r="J4" s="366" t="s">
        <v>79</v>
      </c>
      <c r="K4" s="366" t="s">
        <v>247</v>
      </c>
      <c r="L4" s="197" t="s">
        <v>12</v>
      </c>
    </row>
    <row r="5" spans="1:18" s="209" customFormat="1" ht="23.25" customHeight="1">
      <c r="A5" s="226">
        <v>1</v>
      </c>
      <c r="B5" s="376" t="s">
        <v>267</v>
      </c>
      <c r="C5" s="226" t="s">
        <v>26</v>
      </c>
      <c r="D5" s="114">
        <v>10000</v>
      </c>
      <c r="E5" s="72">
        <v>2000</v>
      </c>
      <c r="F5" s="236">
        <f>400/E5</f>
        <v>0.2</v>
      </c>
      <c r="G5" s="114"/>
      <c r="H5" s="114">
        <f>G5*F5*E5</f>
        <v>0</v>
      </c>
      <c r="I5" s="226">
        <v>22</v>
      </c>
      <c r="J5" s="117">
        <f t="shared" ref="J5:J6" si="0">G5/I5</f>
        <v>0</v>
      </c>
      <c r="K5" s="114">
        <f t="shared" ref="K5:K6" si="1">J5*E5</f>
        <v>0</v>
      </c>
      <c r="L5" s="228"/>
    </row>
    <row r="6" spans="1:18" s="209" customFormat="1" ht="23.25" customHeight="1">
      <c r="A6" s="109">
        <v>2</v>
      </c>
      <c r="B6" s="376" t="s">
        <v>258</v>
      </c>
      <c r="C6" s="72" t="s">
        <v>28</v>
      </c>
      <c r="D6" s="53">
        <f>36000/100*80+1000</f>
        <v>29800</v>
      </c>
      <c r="E6" s="72">
        <v>250</v>
      </c>
      <c r="F6" s="205">
        <v>0.2</v>
      </c>
      <c r="G6" s="114"/>
      <c r="H6" s="114">
        <f>G6*F6*E6</f>
        <v>0</v>
      </c>
      <c r="I6" s="226">
        <v>22</v>
      </c>
      <c r="J6" s="117">
        <f t="shared" si="0"/>
        <v>0</v>
      </c>
      <c r="K6" s="114">
        <f t="shared" si="1"/>
        <v>0</v>
      </c>
      <c r="L6" s="237"/>
    </row>
    <row r="7" spans="1:18" s="44" customFormat="1" ht="32.25" customHeight="1">
      <c r="A7" s="747" t="s">
        <v>248</v>
      </c>
      <c r="B7" s="747"/>
      <c r="C7" s="11"/>
      <c r="D7" s="12"/>
      <c r="E7" s="12"/>
      <c r="F7" s="12"/>
      <c r="G7" s="368">
        <f>SUM(G5:G6)</f>
        <v>0</v>
      </c>
      <c r="H7" s="368">
        <f>SUM(H5:H6)</f>
        <v>0</v>
      </c>
      <c r="I7" s="214"/>
      <c r="J7" s="368">
        <f>SUM(J5:J6)</f>
        <v>0</v>
      </c>
      <c r="K7" s="762"/>
      <c r="L7" s="762"/>
    </row>
    <row r="8" spans="1:18" s="44" customFormat="1" ht="36.75" customHeight="1">
      <c r="A8" s="745" t="s">
        <v>149</v>
      </c>
      <c r="B8" s="745"/>
      <c r="C8" s="745"/>
      <c r="D8" s="745"/>
      <c r="E8" s="745"/>
      <c r="F8" s="745"/>
      <c r="G8" s="745"/>
      <c r="H8" s="745"/>
      <c r="I8" s="745"/>
      <c r="J8" s="745"/>
      <c r="K8" s="745"/>
      <c r="L8" s="745"/>
    </row>
    <row r="9" spans="1:18" s="209" customFormat="1" ht="36.75" customHeight="1">
      <c r="A9" s="746" t="s">
        <v>2</v>
      </c>
      <c r="B9" s="746"/>
      <c r="C9" s="366" t="s">
        <v>3</v>
      </c>
      <c r="D9" s="366" t="s">
        <v>4</v>
      </c>
      <c r="E9" s="366" t="s">
        <v>5</v>
      </c>
      <c r="F9" s="366" t="s">
        <v>6</v>
      </c>
      <c r="G9" s="366" t="s">
        <v>59</v>
      </c>
      <c r="H9" s="366" t="s">
        <v>60</v>
      </c>
      <c r="I9" s="215" t="s">
        <v>9</v>
      </c>
      <c r="J9" s="366" t="s">
        <v>79</v>
      </c>
      <c r="K9" s="366" t="s">
        <v>247</v>
      </c>
      <c r="L9" s="136" t="s">
        <v>12</v>
      </c>
    </row>
    <row r="10" spans="1:18" s="210" customFormat="1" ht="22.5" customHeight="1">
      <c r="A10" s="109">
        <v>1</v>
      </c>
      <c r="B10" s="376" t="s">
        <v>267</v>
      </c>
      <c r="C10" s="72" t="s">
        <v>26</v>
      </c>
      <c r="D10" s="53">
        <f>D5*9</f>
        <v>90000</v>
      </c>
      <c r="E10" s="72">
        <v>2000</v>
      </c>
      <c r="F10" s="234">
        <f>400/E10</f>
        <v>0.2</v>
      </c>
      <c r="G10" s="114">
        <f>D10/E10</f>
        <v>45</v>
      </c>
      <c r="H10" s="114">
        <f>G10*F10*E10</f>
        <v>18000</v>
      </c>
      <c r="I10" s="226">
        <v>66</v>
      </c>
      <c r="J10" s="117">
        <f t="shared" ref="J10:J13" si="2">G10/I10</f>
        <v>0.68181818181818177</v>
      </c>
      <c r="K10" s="114">
        <f>J10*E10</f>
        <v>1363.6363636363635</v>
      </c>
      <c r="L10" s="228" t="s">
        <v>250</v>
      </c>
      <c r="M10" s="229"/>
      <c r="R10" s="230"/>
    </row>
    <row r="11" spans="1:18" s="210" customFormat="1" ht="35.25" customHeight="1">
      <c r="A11" s="7">
        <v>2</v>
      </c>
      <c r="B11" s="376" t="s">
        <v>259</v>
      </c>
      <c r="C11" s="225" t="s">
        <v>28</v>
      </c>
      <c r="D11" s="114">
        <f>D6*6</f>
        <v>178800</v>
      </c>
      <c r="E11" s="226">
        <v>250</v>
      </c>
      <c r="F11" s="235">
        <f>400/E11</f>
        <v>1.6</v>
      </c>
      <c r="G11" s="114">
        <f t="shared" ref="G11:G13" si="3">D11/E11</f>
        <v>715.2</v>
      </c>
      <c r="H11" s="114">
        <f>(G11*F11*E11)</f>
        <v>286080.00000000006</v>
      </c>
      <c r="I11" s="226">
        <v>66</v>
      </c>
      <c r="J11" s="117">
        <f t="shared" si="2"/>
        <v>10.836363636363638</v>
      </c>
      <c r="K11" s="114">
        <f t="shared" ref="K11:K13" si="4">J11*E11</f>
        <v>2709.0909090909095</v>
      </c>
      <c r="L11" s="228" t="s">
        <v>250</v>
      </c>
      <c r="M11" s="229"/>
      <c r="R11" s="230"/>
    </row>
    <row r="12" spans="1:18" s="210" customFormat="1" ht="22.5" customHeight="1">
      <c r="A12" s="7">
        <v>3</v>
      </c>
      <c r="B12" s="376" t="s">
        <v>257</v>
      </c>
      <c r="C12" s="225" t="s">
        <v>28</v>
      </c>
      <c r="D12" s="114">
        <f>D6/100*20</f>
        <v>5960</v>
      </c>
      <c r="E12" s="226">
        <v>100</v>
      </c>
      <c r="F12" s="235">
        <f>400/E12</f>
        <v>4</v>
      </c>
      <c r="G12" s="114">
        <f t="shared" si="3"/>
        <v>59.6</v>
      </c>
      <c r="H12" s="114">
        <f>(G12*F12*E12)</f>
        <v>23840</v>
      </c>
      <c r="I12" s="226">
        <v>66</v>
      </c>
      <c r="J12" s="117">
        <f t="shared" si="2"/>
        <v>0.90303030303030307</v>
      </c>
      <c r="K12" s="114">
        <f t="shared" si="4"/>
        <v>90.303030303030312</v>
      </c>
      <c r="L12" s="228" t="s">
        <v>250</v>
      </c>
      <c r="M12" s="229"/>
      <c r="R12" s="230"/>
    </row>
    <row r="13" spans="1:18" s="210" customFormat="1" ht="22.5" customHeight="1">
      <c r="A13" s="7">
        <v>4</v>
      </c>
      <c r="B13" s="376" t="s">
        <v>260</v>
      </c>
      <c r="C13" s="72" t="s">
        <v>28</v>
      </c>
      <c r="D13" s="114">
        <f>D6</f>
        <v>29800</v>
      </c>
      <c r="E13" s="226">
        <v>400</v>
      </c>
      <c r="F13" s="235">
        <f>400/E13</f>
        <v>1</v>
      </c>
      <c r="G13" s="114">
        <f t="shared" si="3"/>
        <v>74.5</v>
      </c>
      <c r="H13" s="114">
        <f>(G13*F13*E13)</f>
        <v>29800</v>
      </c>
      <c r="I13" s="226">
        <v>66</v>
      </c>
      <c r="J13" s="117">
        <f t="shared" si="2"/>
        <v>1.1287878787878789</v>
      </c>
      <c r="K13" s="114">
        <f t="shared" si="4"/>
        <v>451.51515151515156</v>
      </c>
      <c r="L13" s="228" t="s">
        <v>250</v>
      </c>
      <c r="M13" s="229"/>
      <c r="R13" s="230"/>
    </row>
    <row r="14" spans="1:18" ht="30" customHeight="1">
      <c r="A14" s="747" t="s">
        <v>251</v>
      </c>
      <c r="B14" s="747"/>
      <c r="C14" s="11"/>
      <c r="D14" s="12"/>
      <c r="E14" s="12"/>
      <c r="F14" s="12"/>
      <c r="G14" s="368">
        <f>SUM(G10:G13)</f>
        <v>894.30000000000007</v>
      </c>
      <c r="H14" s="368">
        <f>SUM(H10:H13)</f>
        <v>357720.00000000006</v>
      </c>
      <c r="I14" s="214"/>
      <c r="J14" s="377">
        <f>SUM(J10:J13)</f>
        <v>13.55</v>
      </c>
      <c r="K14" s="761"/>
      <c r="L14" s="761"/>
      <c r="M14" s="112"/>
      <c r="R14" s="34"/>
    </row>
    <row r="15" spans="1:18" ht="35.25" customHeight="1">
      <c r="A15" s="745" t="s">
        <v>61</v>
      </c>
      <c r="B15" s="745"/>
      <c r="C15" s="745"/>
      <c r="D15" s="745"/>
      <c r="E15" s="745"/>
      <c r="F15" s="745"/>
      <c r="G15" s="745"/>
      <c r="H15" s="745"/>
      <c r="I15" s="745"/>
      <c r="J15" s="745"/>
      <c r="K15" s="745"/>
      <c r="L15" s="745"/>
    </row>
    <row r="16" spans="1:18" s="210" customFormat="1" ht="39" customHeight="1">
      <c r="A16" s="29" t="s">
        <v>1</v>
      </c>
      <c r="B16" s="366" t="s">
        <v>78</v>
      </c>
      <c r="C16" s="366" t="s">
        <v>3</v>
      </c>
      <c r="D16" s="366" t="s">
        <v>4</v>
      </c>
      <c r="E16" s="366" t="s">
        <v>5</v>
      </c>
      <c r="F16" s="366" t="s">
        <v>6</v>
      </c>
      <c r="G16" s="366" t="s">
        <v>59</v>
      </c>
      <c r="H16" s="366" t="s">
        <v>60</v>
      </c>
      <c r="I16" s="215" t="s">
        <v>33</v>
      </c>
      <c r="J16" s="366" t="s">
        <v>34</v>
      </c>
      <c r="K16" s="194" t="s">
        <v>247</v>
      </c>
      <c r="L16" s="194" t="s">
        <v>12</v>
      </c>
    </row>
    <row r="17" spans="1:18" s="210" customFormat="1" ht="23.25" customHeight="1">
      <c r="A17" s="7">
        <v>1</v>
      </c>
      <c r="B17" s="376" t="s">
        <v>256</v>
      </c>
      <c r="C17" s="225" t="s">
        <v>26</v>
      </c>
      <c r="D17" s="114">
        <f>D5*12</f>
        <v>120000</v>
      </c>
      <c r="E17" s="226">
        <v>2000</v>
      </c>
      <c r="F17" s="227">
        <f>400/E17</f>
        <v>0.2</v>
      </c>
      <c r="G17" s="114">
        <f>D17/E17</f>
        <v>60</v>
      </c>
      <c r="H17" s="114">
        <f>G17*F17*E17</f>
        <v>24000</v>
      </c>
      <c r="I17" s="226">
        <v>66</v>
      </c>
      <c r="J17" s="117">
        <f>G17/I17</f>
        <v>0.90909090909090906</v>
      </c>
      <c r="K17" s="117">
        <f t="shared" ref="K17" si="5">J17*E17</f>
        <v>1818.181818181818</v>
      </c>
      <c r="L17" s="228" t="s">
        <v>253</v>
      </c>
      <c r="M17" s="229"/>
      <c r="R17" s="230"/>
    </row>
    <row r="18" spans="1:18" s="210" customFormat="1" ht="23.25" customHeight="1">
      <c r="A18" s="59">
        <v>2</v>
      </c>
      <c r="B18" s="376" t="s">
        <v>258</v>
      </c>
      <c r="C18" s="22" t="s">
        <v>249</v>
      </c>
      <c r="D18" s="53">
        <f>D6*9</f>
        <v>268200</v>
      </c>
      <c r="E18" s="72">
        <v>250</v>
      </c>
      <c r="F18" s="195">
        <f>400/E18</f>
        <v>1.6</v>
      </c>
      <c r="G18" s="53">
        <f>D18/E18</f>
        <v>1072.8</v>
      </c>
      <c r="H18" s="53">
        <f>G18*F18*E18</f>
        <v>429120</v>
      </c>
      <c r="I18" s="216">
        <v>66</v>
      </c>
      <c r="J18" s="42">
        <f>G18/I18</f>
        <v>16.254545454545454</v>
      </c>
      <c r="K18" s="117">
        <f>J18*E18</f>
        <v>4063.6363636363635</v>
      </c>
      <c r="L18" s="228" t="s">
        <v>253</v>
      </c>
      <c r="M18" s="229"/>
      <c r="R18" s="230"/>
    </row>
    <row r="19" spans="1:18" ht="33" customHeight="1">
      <c r="A19" s="758" t="s">
        <v>83</v>
      </c>
      <c r="B19" s="758"/>
      <c r="C19" s="11"/>
      <c r="D19" s="12"/>
      <c r="E19" s="12"/>
      <c r="F19" s="12"/>
      <c r="G19" s="368">
        <f>SUM(G17:G18)</f>
        <v>1132.8</v>
      </c>
      <c r="H19" s="368">
        <f>SUM(H17:H18)</f>
        <v>453120</v>
      </c>
      <c r="I19" s="214"/>
      <c r="J19" s="254">
        <f>SUM(J17:J18)</f>
        <v>17.163636363636364</v>
      </c>
      <c r="K19" s="755"/>
      <c r="L19" s="755"/>
      <c r="M19" s="112"/>
      <c r="R19" s="34"/>
    </row>
    <row r="20" spans="1:18" ht="36" customHeight="1">
      <c r="A20" s="745" t="s">
        <v>263</v>
      </c>
      <c r="B20" s="745"/>
      <c r="C20" s="745"/>
      <c r="D20" s="745"/>
      <c r="E20" s="745"/>
      <c r="F20" s="745"/>
      <c r="G20" s="745"/>
      <c r="H20" s="745"/>
      <c r="I20" s="745"/>
      <c r="J20" s="745"/>
      <c r="K20" s="745"/>
      <c r="L20" s="745"/>
      <c r="M20" s="112"/>
      <c r="R20" s="34"/>
    </row>
    <row r="21" spans="1:18" s="210" customFormat="1" ht="38.25" customHeight="1">
      <c r="A21" s="136" t="s">
        <v>1</v>
      </c>
      <c r="B21" s="197" t="s">
        <v>30</v>
      </c>
      <c r="C21" s="197" t="s">
        <v>3</v>
      </c>
      <c r="D21" s="366" t="s">
        <v>31</v>
      </c>
      <c r="E21" s="366" t="s">
        <v>5</v>
      </c>
      <c r="F21" s="366" t="s">
        <v>6</v>
      </c>
      <c r="G21" s="366" t="s">
        <v>32</v>
      </c>
      <c r="H21" s="366" t="s">
        <v>8</v>
      </c>
      <c r="I21" s="215" t="s">
        <v>254</v>
      </c>
      <c r="J21" s="366" t="s">
        <v>79</v>
      </c>
      <c r="K21" s="366" t="s">
        <v>247</v>
      </c>
      <c r="L21" s="198" t="s">
        <v>12</v>
      </c>
    </row>
    <row r="22" spans="1:18" s="210" customFormat="1" ht="21.75" customHeight="1">
      <c r="A22" s="7">
        <v>1</v>
      </c>
      <c r="B22" s="376" t="s">
        <v>256</v>
      </c>
      <c r="C22" s="109" t="s">
        <v>26</v>
      </c>
      <c r="D22" s="53">
        <f>D5*12</f>
        <v>120000</v>
      </c>
      <c r="E22" s="72">
        <v>2000</v>
      </c>
      <c r="F22" s="231">
        <f>400/E22</f>
        <v>0.2</v>
      </c>
      <c r="G22" s="114">
        <f>D22/E22</f>
        <v>60</v>
      </c>
      <c r="H22" s="114">
        <f>G22*F22*E22</f>
        <v>24000</v>
      </c>
      <c r="I22" s="226">
        <v>54</v>
      </c>
      <c r="J22" s="117">
        <f t="shared" ref="J22:J26" si="6">G22/I22</f>
        <v>1.1111111111111112</v>
      </c>
      <c r="K22" s="114">
        <f t="shared" ref="K22:K25" si="7">J22*E22</f>
        <v>2222.2222222222222</v>
      </c>
      <c r="L22" s="228" t="s">
        <v>38</v>
      </c>
    </row>
    <row r="23" spans="1:18" s="210" customFormat="1" ht="21.75" customHeight="1">
      <c r="A23" s="226">
        <v>2</v>
      </c>
      <c r="B23" s="376" t="s">
        <v>258</v>
      </c>
      <c r="C23" s="72" t="s">
        <v>28</v>
      </c>
      <c r="D23" s="53">
        <f>D6*6</f>
        <v>178800</v>
      </c>
      <c r="E23" s="72">
        <v>250</v>
      </c>
      <c r="F23" s="231">
        <f t="shared" ref="F23:F26" si="8">400/E23</f>
        <v>1.6</v>
      </c>
      <c r="G23" s="114">
        <f t="shared" ref="G23:G26" si="9">D23/E23</f>
        <v>715.2</v>
      </c>
      <c r="H23" s="114">
        <f>G23*F23*E23</f>
        <v>286080.00000000006</v>
      </c>
      <c r="I23" s="226">
        <v>54</v>
      </c>
      <c r="J23" s="117">
        <f t="shared" si="6"/>
        <v>13.244444444444445</v>
      </c>
      <c r="K23" s="114">
        <f t="shared" si="7"/>
        <v>3311.1111111111113</v>
      </c>
      <c r="L23" s="232" t="s">
        <v>38</v>
      </c>
    </row>
    <row r="24" spans="1:18" s="210" customFormat="1" ht="21.75" customHeight="1">
      <c r="A24" s="7">
        <v>3</v>
      </c>
      <c r="B24" s="376" t="s">
        <v>265</v>
      </c>
      <c r="C24" s="72" t="s">
        <v>26</v>
      </c>
      <c r="D24" s="53">
        <f>D25*3</f>
        <v>8940</v>
      </c>
      <c r="E24" s="72">
        <v>250</v>
      </c>
      <c r="F24" s="231">
        <f t="shared" si="8"/>
        <v>1.6</v>
      </c>
      <c r="G24" s="114">
        <f t="shared" si="9"/>
        <v>35.76</v>
      </c>
      <c r="H24" s="114">
        <f t="shared" ref="H24:H26" si="10">G24*F24*E24</f>
        <v>14304</v>
      </c>
      <c r="I24" s="226">
        <v>54</v>
      </c>
      <c r="J24" s="117">
        <f t="shared" si="6"/>
        <v>0.66222222222222216</v>
      </c>
      <c r="K24" s="114">
        <f t="shared" si="7"/>
        <v>165.55555555555554</v>
      </c>
      <c r="L24" s="232"/>
    </row>
    <row r="25" spans="1:18" s="210" customFormat="1" ht="33.75" customHeight="1">
      <c r="A25" s="226">
        <v>4</v>
      </c>
      <c r="B25" s="255" t="s">
        <v>261</v>
      </c>
      <c r="C25" s="72" t="s">
        <v>28</v>
      </c>
      <c r="D25" s="114">
        <f>D6/100*10</f>
        <v>2980</v>
      </c>
      <c r="E25" s="238">
        <v>50</v>
      </c>
      <c r="F25" s="231">
        <f t="shared" si="8"/>
        <v>8</v>
      </c>
      <c r="G25" s="114">
        <f t="shared" si="9"/>
        <v>59.6</v>
      </c>
      <c r="H25" s="114">
        <f t="shared" si="10"/>
        <v>23840</v>
      </c>
      <c r="I25" s="226">
        <v>54</v>
      </c>
      <c r="J25" s="117">
        <f t="shared" si="6"/>
        <v>1.1037037037037036</v>
      </c>
      <c r="K25" s="114">
        <f t="shared" si="7"/>
        <v>55.185185185185183</v>
      </c>
      <c r="L25" s="228" t="s">
        <v>224</v>
      </c>
    </row>
    <row r="26" spans="1:18" s="209" customFormat="1" ht="30.75" customHeight="1">
      <c r="A26" s="226">
        <v>5</v>
      </c>
      <c r="B26" s="378" t="s">
        <v>317</v>
      </c>
      <c r="C26" s="72" t="s">
        <v>28</v>
      </c>
      <c r="D26" s="114">
        <f>D25</f>
        <v>2980</v>
      </c>
      <c r="E26" s="238">
        <v>250</v>
      </c>
      <c r="F26" s="231">
        <f t="shared" si="8"/>
        <v>1.6</v>
      </c>
      <c r="G26" s="114">
        <f t="shared" si="9"/>
        <v>11.92</v>
      </c>
      <c r="H26" s="114">
        <f t="shared" si="10"/>
        <v>4768</v>
      </c>
      <c r="I26" s="226">
        <v>33</v>
      </c>
      <c r="J26" s="369">
        <f t="shared" si="6"/>
        <v>0.36121212121212121</v>
      </c>
      <c r="K26" s="370">
        <f>J26*E26</f>
        <v>90.303030303030297</v>
      </c>
      <c r="L26" s="228"/>
    </row>
    <row r="27" spans="1:18" ht="30.75" customHeight="1">
      <c r="A27" s="747" t="s">
        <v>80</v>
      </c>
      <c r="B27" s="747"/>
      <c r="C27" s="11"/>
      <c r="D27" s="12"/>
      <c r="E27" s="12">
        <v>0</v>
      </c>
      <c r="F27" s="12">
        <v>0</v>
      </c>
      <c r="G27" s="368">
        <f>SUM(G22:G25)</f>
        <v>870.56000000000006</v>
      </c>
      <c r="H27" s="368">
        <f>SUM(H22:H25)</f>
        <v>348224.00000000006</v>
      </c>
      <c r="I27" s="214"/>
      <c r="J27" s="254">
        <f>SUM(J22:J25)</f>
        <v>16.121481481481482</v>
      </c>
      <c r="K27" s="755"/>
      <c r="L27" s="755"/>
    </row>
    <row r="28" spans="1:18" ht="29.25" customHeight="1">
      <c r="A28" s="756" t="s">
        <v>255</v>
      </c>
      <c r="B28" s="756"/>
      <c r="C28" s="199"/>
      <c r="D28" s="199">
        <v>0</v>
      </c>
      <c r="E28" s="199">
        <v>0</v>
      </c>
      <c r="F28" s="200">
        <v>0</v>
      </c>
      <c r="G28" s="200">
        <f>SUM(G7+G14+G19+G27)</f>
        <v>2897.66</v>
      </c>
      <c r="H28" s="200">
        <f>SUM(H7+H14+H19+H27)</f>
        <v>1159064</v>
      </c>
      <c r="I28" s="217"/>
      <c r="J28" s="201"/>
      <c r="K28" s="202"/>
      <c r="L28" s="202"/>
    </row>
    <row r="29" spans="1:18" s="219" customFormat="1" ht="27.75" customHeight="1">
      <c r="A29" s="757" t="s">
        <v>266</v>
      </c>
      <c r="B29" s="757"/>
      <c r="C29" s="220"/>
      <c r="D29" s="220"/>
      <c r="E29" s="220"/>
      <c r="F29" s="220"/>
      <c r="G29" s="220"/>
      <c r="H29" s="221">
        <f>H28/68.34</f>
        <v>16960.25753585016</v>
      </c>
      <c r="I29" s="222"/>
      <c r="J29" s="223"/>
      <c r="K29" s="223"/>
      <c r="L29" s="220"/>
    </row>
    <row r="30" spans="1:18" s="244" customFormat="1" ht="33.75" customHeight="1">
      <c r="A30" s="721" t="s">
        <v>321</v>
      </c>
      <c r="B30" s="721"/>
      <c r="C30" s="721"/>
      <c r="D30" s="68"/>
      <c r="E30" s="68"/>
      <c r="F30" s="176"/>
      <c r="G30" s="68" t="s">
        <v>44</v>
      </c>
      <c r="H30" s="68" t="s">
        <v>217</v>
      </c>
      <c r="J30" s="248"/>
      <c r="L30" s="68"/>
    </row>
    <row r="31" spans="1:18" s="244" customFormat="1" ht="45.75" customHeight="1">
      <c r="A31" s="267" t="s">
        <v>318</v>
      </c>
      <c r="B31" s="268"/>
      <c r="C31" s="269" t="s">
        <v>48</v>
      </c>
      <c r="D31" s="270"/>
      <c r="E31" s="270"/>
      <c r="F31" s="269" t="s">
        <v>200</v>
      </c>
      <c r="G31" s="39"/>
      <c r="H31" s="324"/>
      <c r="I31" s="270" t="s">
        <v>320</v>
      </c>
      <c r="J31" s="324" t="s">
        <v>49</v>
      </c>
      <c r="K31" s="324"/>
      <c r="L31" s="39"/>
    </row>
    <row r="32" spans="1:18" s="244" customFormat="1" ht="26.25" customHeight="1">
      <c r="A32" s="271"/>
      <c r="B32" s="272"/>
      <c r="C32" s="271" t="s">
        <v>286</v>
      </c>
      <c r="D32" s="271"/>
      <c r="E32" s="271"/>
      <c r="F32" s="244" t="s">
        <v>52</v>
      </c>
      <c r="G32" s="271"/>
      <c r="H32" s="325"/>
      <c r="I32" s="271"/>
      <c r="J32" s="325" t="s">
        <v>54</v>
      </c>
      <c r="K32" s="326"/>
      <c r="L32" s="323" t="s">
        <v>81</v>
      </c>
    </row>
  </sheetData>
  <mergeCells count="19">
    <mergeCell ref="K27:L27"/>
    <mergeCell ref="A28:B28"/>
    <mergeCell ref="A29:B29"/>
    <mergeCell ref="A30:C30"/>
    <mergeCell ref="A19:B19"/>
    <mergeCell ref="K19:L19"/>
    <mergeCell ref="A20:L20"/>
    <mergeCell ref="A27:B27"/>
    <mergeCell ref="A1:L1"/>
    <mergeCell ref="A2:L2"/>
    <mergeCell ref="A3:L3"/>
    <mergeCell ref="A4:B4"/>
    <mergeCell ref="A7:B7"/>
    <mergeCell ref="K7:L7"/>
    <mergeCell ref="A8:L8"/>
    <mergeCell ref="A9:B9"/>
    <mergeCell ref="A14:B14"/>
    <mergeCell ref="K14:L14"/>
    <mergeCell ref="A15:L15"/>
  </mergeCells>
  <printOptions horizontalCentered="1"/>
  <pageMargins left="0.35" right="0.36" top="0.32" bottom="0.28999999999999998" header="0.17" footer="0.18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35"/>
  <sheetViews>
    <sheetView rightToLeft="1" view="pageBreakPreview" zoomScale="70" zoomScaleSheetLayoutView="70" workbookViewId="0">
      <selection sqref="A1:L1"/>
    </sheetView>
  </sheetViews>
  <sheetFormatPr defaultColWidth="9.125" defaultRowHeight="15"/>
  <cols>
    <col min="1" max="1" width="7" style="120" customWidth="1"/>
    <col min="2" max="2" width="48.25" style="120" customWidth="1"/>
    <col min="3" max="3" width="10" style="120" customWidth="1"/>
    <col min="4" max="4" width="17" style="120" bestFit="1" customWidth="1"/>
    <col min="5" max="5" width="13.25" style="120" customWidth="1"/>
    <col min="6" max="6" width="14.625" style="120" customWidth="1"/>
    <col min="7" max="7" width="14.75" style="120" customWidth="1"/>
    <col min="8" max="8" width="18.625" style="120" customWidth="1"/>
    <col min="9" max="9" width="13.125" style="218" customWidth="1"/>
    <col min="10" max="10" width="13.125" style="212" customWidth="1"/>
    <col min="11" max="11" width="19" style="212" customWidth="1"/>
    <col min="12" max="12" width="39.875" style="120" customWidth="1"/>
    <col min="13" max="13" width="10.75" style="120" bestFit="1" customWidth="1"/>
    <col min="14" max="14" width="17.625" style="120" customWidth="1"/>
    <col min="15" max="15" width="17" style="120" customWidth="1"/>
    <col min="16" max="16" width="24.125" style="120" customWidth="1"/>
    <col min="17" max="17" width="9.125" style="120"/>
    <col min="18" max="18" width="11.75" style="120" customWidth="1"/>
    <col min="19" max="19" width="9.125" style="120"/>
    <col min="20" max="20" width="13.375" style="120" customWidth="1"/>
    <col min="21" max="16384" width="9.125" style="120"/>
  </cols>
  <sheetData>
    <row r="1" spans="1:18" ht="60.75" customHeight="1">
      <c r="A1" s="750" t="s">
        <v>273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</row>
    <row r="2" spans="1:18" ht="27.75" customHeight="1">
      <c r="A2" s="751" t="s">
        <v>215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N2" s="34"/>
    </row>
    <row r="3" spans="1:18" s="141" customFormat="1" ht="32.25" customHeight="1">
      <c r="A3" s="745" t="s">
        <v>148</v>
      </c>
      <c r="B3" s="745"/>
      <c r="C3" s="745"/>
      <c r="D3" s="745"/>
      <c r="E3" s="745"/>
      <c r="F3" s="745"/>
      <c r="G3" s="745"/>
      <c r="H3" s="745"/>
      <c r="I3" s="745"/>
      <c r="J3" s="745"/>
      <c r="K3" s="745"/>
      <c r="L3" s="745"/>
    </row>
    <row r="4" spans="1:18" s="379" customFormat="1" ht="35.25" customHeight="1">
      <c r="A4" s="746" t="s">
        <v>2</v>
      </c>
      <c r="B4" s="746"/>
      <c r="C4" s="366" t="s">
        <v>3</v>
      </c>
      <c r="D4" s="366" t="s">
        <v>4</v>
      </c>
      <c r="E4" s="366" t="s">
        <v>5</v>
      </c>
      <c r="F4" s="366" t="s">
        <v>6</v>
      </c>
      <c r="G4" s="366" t="s">
        <v>59</v>
      </c>
      <c r="H4" s="366" t="s">
        <v>60</v>
      </c>
      <c r="I4" s="215" t="s">
        <v>9</v>
      </c>
      <c r="J4" s="366" t="s">
        <v>79</v>
      </c>
      <c r="K4" s="366" t="s">
        <v>247</v>
      </c>
      <c r="L4" s="197" t="s">
        <v>12</v>
      </c>
    </row>
    <row r="5" spans="1:18" s="209" customFormat="1" ht="23.25" customHeight="1">
      <c r="A5" s="226">
        <v>1</v>
      </c>
      <c r="B5" s="224" t="s">
        <v>267</v>
      </c>
      <c r="C5" s="226" t="s">
        <v>26</v>
      </c>
      <c r="D5" s="114">
        <v>3000</v>
      </c>
      <c r="E5" s="72">
        <v>2000</v>
      </c>
      <c r="F5" s="236">
        <f>400/E5</f>
        <v>0.2</v>
      </c>
      <c r="G5" s="114"/>
      <c r="H5" s="114">
        <f>G5*F5*E5</f>
        <v>0</v>
      </c>
      <c r="I5" s="226">
        <v>22</v>
      </c>
      <c r="J5" s="117">
        <f t="shared" ref="J5:J8" si="0">G5/I5</f>
        <v>0</v>
      </c>
      <c r="K5" s="114">
        <f t="shared" ref="K5:K8" si="1">J5*E5</f>
        <v>0</v>
      </c>
      <c r="L5" s="228"/>
    </row>
    <row r="6" spans="1:18" s="209" customFormat="1" ht="23.25" customHeight="1">
      <c r="A6" s="109">
        <v>2</v>
      </c>
      <c r="B6" s="224" t="s">
        <v>258</v>
      </c>
      <c r="C6" s="72" t="s">
        <v>28</v>
      </c>
      <c r="D6" s="53">
        <f>31194+5000</f>
        <v>36194</v>
      </c>
      <c r="E6" s="72">
        <v>250</v>
      </c>
      <c r="F6" s="205">
        <v>0.2</v>
      </c>
      <c r="G6" s="114"/>
      <c r="H6" s="114">
        <f>G6*F6*E6</f>
        <v>0</v>
      </c>
      <c r="I6" s="226">
        <v>22</v>
      </c>
      <c r="J6" s="117">
        <f t="shared" si="0"/>
        <v>0</v>
      </c>
      <c r="K6" s="114">
        <f t="shared" si="1"/>
        <v>0</v>
      </c>
      <c r="L6" s="237"/>
    </row>
    <row r="7" spans="1:18" s="209" customFormat="1" ht="23.25" customHeight="1">
      <c r="A7" s="226">
        <v>3</v>
      </c>
      <c r="B7" s="224" t="s">
        <v>315</v>
      </c>
      <c r="C7" s="72" t="s">
        <v>28</v>
      </c>
      <c r="D7" s="53">
        <v>5000</v>
      </c>
      <c r="E7" s="72">
        <v>50</v>
      </c>
      <c r="F7" s="231">
        <f>400/E7</f>
        <v>8</v>
      </c>
      <c r="G7" s="114">
        <f>D7/E7</f>
        <v>100</v>
      </c>
      <c r="H7" s="114">
        <f>G7*F7*E7</f>
        <v>40000</v>
      </c>
      <c r="I7" s="226">
        <v>15</v>
      </c>
      <c r="J7" s="117">
        <f t="shared" si="0"/>
        <v>6.666666666666667</v>
      </c>
      <c r="K7" s="114">
        <f t="shared" si="1"/>
        <v>333.33333333333337</v>
      </c>
      <c r="L7" s="371"/>
    </row>
    <row r="8" spans="1:18" s="209" customFormat="1" ht="23.25" customHeight="1">
      <c r="A8" s="226">
        <v>4</v>
      </c>
      <c r="B8" s="224" t="s">
        <v>316</v>
      </c>
      <c r="C8" s="72"/>
      <c r="D8" s="53">
        <f>D7</f>
        <v>5000</v>
      </c>
      <c r="E8" s="72">
        <v>250</v>
      </c>
      <c r="F8" s="231">
        <f>400/E8</f>
        <v>1.6</v>
      </c>
      <c r="G8" s="114">
        <f>D8/E8</f>
        <v>20</v>
      </c>
      <c r="H8" s="114">
        <f>G8*F8*E8</f>
        <v>8000</v>
      </c>
      <c r="I8" s="226">
        <v>15</v>
      </c>
      <c r="J8" s="117">
        <f t="shared" si="0"/>
        <v>1.3333333333333333</v>
      </c>
      <c r="K8" s="114">
        <f t="shared" si="1"/>
        <v>333.33333333333331</v>
      </c>
      <c r="L8" s="371"/>
    </row>
    <row r="9" spans="1:18" s="44" customFormat="1" ht="30" customHeight="1">
      <c r="A9" s="747" t="s">
        <v>248</v>
      </c>
      <c r="B9" s="747"/>
      <c r="C9" s="11"/>
      <c r="D9" s="12"/>
      <c r="E9" s="12"/>
      <c r="F9" s="12"/>
      <c r="G9" s="192">
        <f>SUM(G5:G8)</f>
        <v>120</v>
      </c>
      <c r="H9" s="192">
        <f>SUM(H5:H8)</f>
        <v>48000</v>
      </c>
      <c r="I9" s="214"/>
      <c r="J9" s="203">
        <f>SUM(J5:J8)</f>
        <v>8</v>
      </c>
      <c r="K9" s="753"/>
      <c r="L9" s="754"/>
    </row>
    <row r="10" spans="1:18" s="44" customFormat="1" ht="30" customHeight="1">
      <c r="A10" s="745" t="s">
        <v>149</v>
      </c>
      <c r="B10" s="745"/>
      <c r="C10" s="745"/>
      <c r="D10" s="745"/>
      <c r="E10" s="745"/>
      <c r="F10" s="745"/>
      <c r="G10" s="745"/>
      <c r="H10" s="745"/>
      <c r="I10" s="745"/>
      <c r="J10" s="745"/>
      <c r="K10" s="745"/>
      <c r="L10" s="745"/>
    </row>
    <row r="11" spans="1:18" s="209" customFormat="1" ht="36.75" customHeight="1">
      <c r="A11" s="746" t="s">
        <v>2</v>
      </c>
      <c r="B11" s="746"/>
      <c r="C11" s="138" t="s">
        <v>3</v>
      </c>
      <c r="D11" s="138" t="s">
        <v>4</v>
      </c>
      <c r="E11" s="138" t="s">
        <v>5</v>
      </c>
      <c r="F11" s="138" t="s">
        <v>6</v>
      </c>
      <c r="G11" s="138" t="s">
        <v>59</v>
      </c>
      <c r="H11" s="138" t="s">
        <v>60</v>
      </c>
      <c r="I11" s="215" t="s">
        <v>9</v>
      </c>
      <c r="J11" s="138" t="s">
        <v>79</v>
      </c>
      <c r="K11" s="138" t="s">
        <v>247</v>
      </c>
      <c r="L11" s="136" t="s">
        <v>12</v>
      </c>
    </row>
    <row r="12" spans="1:18" s="210" customFormat="1" ht="20.25" customHeight="1">
      <c r="A12" s="109">
        <v>1</v>
      </c>
      <c r="B12" s="224" t="s">
        <v>267</v>
      </c>
      <c r="C12" s="72" t="s">
        <v>26</v>
      </c>
      <c r="D12" s="53">
        <f>D5*9</f>
        <v>27000</v>
      </c>
      <c r="E12" s="72">
        <v>2000</v>
      </c>
      <c r="F12" s="234">
        <f>400/E12</f>
        <v>0.2</v>
      </c>
      <c r="G12" s="114">
        <f>D12/E12</f>
        <v>13.5</v>
      </c>
      <c r="H12" s="114">
        <f>G12*F12*E12</f>
        <v>5400</v>
      </c>
      <c r="I12" s="226">
        <v>66</v>
      </c>
      <c r="J12" s="117">
        <f t="shared" ref="J12:J15" si="2">G12/I12</f>
        <v>0.20454545454545456</v>
      </c>
      <c r="K12" s="114">
        <f>J12*E12</f>
        <v>409.09090909090912</v>
      </c>
      <c r="L12" s="228"/>
      <c r="M12" s="229"/>
      <c r="R12" s="230"/>
    </row>
    <row r="13" spans="1:18" s="210" customFormat="1" ht="33.75" customHeight="1">
      <c r="A13" s="7">
        <v>2</v>
      </c>
      <c r="B13" s="224" t="s">
        <v>259</v>
      </c>
      <c r="C13" s="225" t="s">
        <v>28</v>
      </c>
      <c r="D13" s="114">
        <f>D6*6</f>
        <v>217164</v>
      </c>
      <c r="E13" s="226">
        <v>250</v>
      </c>
      <c r="F13" s="235">
        <f>400/E13</f>
        <v>1.6</v>
      </c>
      <c r="G13" s="114">
        <f t="shared" ref="G13:G15" si="3">D13/E13</f>
        <v>868.65599999999995</v>
      </c>
      <c r="H13" s="114">
        <f>(G13*F13*E13)</f>
        <v>347462.40000000002</v>
      </c>
      <c r="I13" s="226">
        <v>66</v>
      </c>
      <c r="J13" s="117">
        <f t="shared" si="2"/>
        <v>13.161454545454545</v>
      </c>
      <c r="K13" s="114">
        <f t="shared" ref="K13:K15" si="4">J13*E13</f>
        <v>3290.363636363636</v>
      </c>
      <c r="L13" s="228"/>
      <c r="M13" s="229"/>
      <c r="R13" s="230"/>
    </row>
    <row r="14" spans="1:18" s="210" customFormat="1" ht="20.25" customHeight="1">
      <c r="A14" s="7">
        <v>3</v>
      </c>
      <c r="B14" s="224" t="s">
        <v>257</v>
      </c>
      <c r="C14" s="225" t="s">
        <v>28</v>
      </c>
      <c r="D14" s="114">
        <f>D6/100*20</f>
        <v>7238.8</v>
      </c>
      <c r="E14" s="226">
        <v>100</v>
      </c>
      <c r="F14" s="235">
        <f>400/E14</f>
        <v>4</v>
      </c>
      <c r="G14" s="114">
        <f t="shared" si="3"/>
        <v>72.388000000000005</v>
      </c>
      <c r="H14" s="114">
        <f>(G14*F14*E14)</f>
        <v>28955.200000000001</v>
      </c>
      <c r="I14" s="226">
        <v>66</v>
      </c>
      <c r="J14" s="117">
        <f t="shared" si="2"/>
        <v>1.0967878787878789</v>
      </c>
      <c r="K14" s="114">
        <f t="shared" si="4"/>
        <v>109.67878787878789</v>
      </c>
      <c r="L14" s="228"/>
      <c r="M14" s="229"/>
      <c r="R14" s="230"/>
    </row>
    <row r="15" spans="1:18" s="210" customFormat="1" ht="20.25" customHeight="1">
      <c r="A15" s="7">
        <v>4</v>
      </c>
      <c r="B15" s="224" t="s">
        <v>260</v>
      </c>
      <c r="C15" s="72" t="s">
        <v>28</v>
      </c>
      <c r="D15" s="114">
        <f>D6</f>
        <v>36194</v>
      </c>
      <c r="E15" s="226">
        <v>400</v>
      </c>
      <c r="F15" s="235">
        <f>400/E15</f>
        <v>1</v>
      </c>
      <c r="G15" s="114">
        <f t="shared" si="3"/>
        <v>90.484999999999999</v>
      </c>
      <c r="H15" s="114">
        <f>(G15*F15*E15)</f>
        <v>36194</v>
      </c>
      <c r="I15" s="226">
        <v>66</v>
      </c>
      <c r="J15" s="117">
        <f t="shared" si="2"/>
        <v>1.3709848484848486</v>
      </c>
      <c r="K15" s="114">
        <f t="shared" si="4"/>
        <v>548.39393939393949</v>
      </c>
      <c r="L15" s="228"/>
      <c r="M15" s="229"/>
      <c r="R15" s="230"/>
    </row>
    <row r="16" spans="1:18" ht="29.25" customHeight="1">
      <c r="A16" s="747" t="s">
        <v>251</v>
      </c>
      <c r="B16" s="747"/>
      <c r="C16" s="11"/>
      <c r="D16" s="12"/>
      <c r="E16" s="12"/>
      <c r="F16" s="12"/>
      <c r="G16" s="192">
        <f>SUM(G12:G15)</f>
        <v>1045.029</v>
      </c>
      <c r="H16" s="192">
        <f>SUM(H12:H15)</f>
        <v>418011.60000000003</v>
      </c>
      <c r="I16" s="214"/>
      <c r="J16" s="193">
        <f>SUM(J12:J15)</f>
        <v>15.833772727272727</v>
      </c>
      <c r="K16" s="748"/>
      <c r="L16" s="749"/>
      <c r="M16" s="112"/>
      <c r="R16" s="34"/>
    </row>
    <row r="17" spans="1:18" ht="29.25" customHeight="1">
      <c r="A17" s="745" t="s">
        <v>61</v>
      </c>
      <c r="B17" s="745"/>
      <c r="C17" s="745"/>
      <c r="D17" s="745"/>
      <c r="E17" s="745"/>
      <c r="F17" s="745"/>
      <c r="G17" s="745"/>
      <c r="H17" s="745"/>
      <c r="I17" s="745"/>
      <c r="J17" s="745"/>
      <c r="K17" s="745"/>
      <c r="L17" s="745"/>
    </row>
    <row r="18" spans="1:18" s="210" customFormat="1" ht="39" customHeight="1">
      <c r="A18" s="29" t="s">
        <v>1</v>
      </c>
      <c r="B18" s="204" t="s">
        <v>78</v>
      </c>
      <c r="C18" s="138" t="s">
        <v>3</v>
      </c>
      <c r="D18" s="138" t="s">
        <v>4</v>
      </c>
      <c r="E18" s="138" t="s">
        <v>5</v>
      </c>
      <c r="F18" s="138" t="s">
        <v>6</v>
      </c>
      <c r="G18" s="138" t="s">
        <v>59</v>
      </c>
      <c r="H18" s="138" t="s">
        <v>60</v>
      </c>
      <c r="I18" s="215" t="s">
        <v>33</v>
      </c>
      <c r="J18" s="138" t="s">
        <v>34</v>
      </c>
      <c r="K18" s="194" t="s">
        <v>247</v>
      </c>
      <c r="L18" s="194" t="s">
        <v>12</v>
      </c>
    </row>
    <row r="19" spans="1:18" s="210" customFormat="1" ht="23.25" customHeight="1">
      <c r="A19" s="7">
        <v>1</v>
      </c>
      <c r="B19" s="224" t="s">
        <v>256</v>
      </c>
      <c r="C19" s="225" t="s">
        <v>26</v>
      </c>
      <c r="D19" s="114">
        <f>D5*12</f>
        <v>36000</v>
      </c>
      <c r="E19" s="226">
        <v>2000</v>
      </c>
      <c r="F19" s="227">
        <f>400/E19</f>
        <v>0.2</v>
      </c>
      <c r="G19" s="114">
        <f>D19/E19</f>
        <v>18</v>
      </c>
      <c r="H19" s="114">
        <f>G19*F19*E19</f>
        <v>7200</v>
      </c>
      <c r="I19" s="226">
        <v>66</v>
      </c>
      <c r="J19" s="117">
        <f>G19/I19</f>
        <v>0.27272727272727271</v>
      </c>
      <c r="K19" s="117">
        <f t="shared" ref="K19" si="5">J19*E19</f>
        <v>545.45454545454538</v>
      </c>
      <c r="L19" s="228"/>
      <c r="M19" s="229"/>
      <c r="R19" s="230"/>
    </row>
    <row r="20" spans="1:18" s="210" customFormat="1" ht="23.25" customHeight="1">
      <c r="A20" s="59">
        <v>2</v>
      </c>
      <c r="B20" s="224" t="s">
        <v>258</v>
      </c>
      <c r="C20" s="22" t="s">
        <v>249</v>
      </c>
      <c r="D20" s="53">
        <f>D6*9</f>
        <v>325746</v>
      </c>
      <c r="E20" s="72">
        <v>250</v>
      </c>
      <c r="F20" s="195">
        <f>400/E20</f>
        <v>1.6</v>
      </c>
      <c r="G20" s="53">
        <f>D20/E20</f>
        <v>1302.9839999999999</v>
      </c>
      <c r="H20" s="53">
        <f>G20*F20*E20</f>
        <v>521193.59999999992</v>
      </c>
      <c r="I20" s="216">
        <v>66</v>
      </c>
      <c r="J20" s="42">
        <f>G20/I20</f>
        <v>19.742181818181816</v>
      </c>
      <c r="K20" s="117">
        <f>J20*E20</f>
        <v>4935.545454545454</v>
      </c>
      <c r="L20" s="228"/>
      <c r="M20" s="229"/>
      <c r="R20" s="230"/>
    </row>
    <row r="21" spans="1:18" ht="32.25" customHeight="1">
      <c r="A21" s="758" t="s">
        <v>83</v>
      </c>
      <c r="B21" s="758"/>
      <c r="C21" s="11"/>
      <c r="D21" s="12"/>
      <c r="E21" s="12"/>
      <c r="F21" s="12"/>
      <c r="G21" s="192">
        <f>SUM(G19:G20)</f>
        <v>1320.9839999999999</v>
      </c>
      <c r="H21" s="192">
        <f>SUM(H19:H20)</f>
        <v>528393.59999999986</v>
      </c>
      <c r="I21" s="214"/>
      <c r="J21" s="196">
        <f>SUM(J19:J20)</f>
        <v>20.014909090909089</v>
      </c>
      <c r="K21" s="759"/>
      <c r="L21" s="760"/>
      <c r="M21" s="112"/>
      <c r="R21" s="34"/>
    </row>
    <row r="22" spans="1:18" ht="32.25" customHeight="1">
      <c r="A22" s="745" t="s">
        <v>263</v>
      </c>
      <c r="B22" s="745"/>
      <c r="C22" s="745"/>
      <c r="D22" s="745"/>
      <c r="E22" s="745"/>
      <c r="F22" s="745"/>
      <c r="G22" s="745"/>
      <c r="H22" s="745"/>
      <c r="I22" s="745"/>
      <c r="J22" s="745"/>
      <c r="K22" s="745"/>
      <c r="L22" s="745"/>
      <c r="M22" s="112"/>
      <c r="R22" s="34"/>
    </row>
    <row r="23" spans="1:18" s="210" customFormat="1" ht="36.75" customHeight="1">
      <c r="A23" s="136" t="s">
        <v>1</v>
      </c>
      <c r="B23" s="211" t="s">
        <v>30</v>
      </c>
      <c r="C23" s="197" t="s">
        <v>3</v>
      </c>
      <c r="D23" s="138" t="s">
        <v>31</v>
      </c>
      <c r="E23" s="138" t="s">
        <v>5</v>
      </c>
      <c r="F23" s="138" t="s">
        <v>6</v>
      </c>
      <c r="G23" s="138" t="s">
        <v>32</v>
      </c>
      <c r="H23" s="138" t="s">
        <v>8</v>
      </c>
      <c r="I23" s="215" t="s">
        <v>254</v>
      </c>
      <c r="J23" s="138" t="s">
        <v>79</v>
      </c>
      <c r="K23" s="138" t="s">
        <v>247</v>
      </c>
      <c r="L23" s="198" t="s">
        <v>12</v>
      </c>
    </row>
    <row r="24" spans="1:18" s="210" customFormat="1" ht="21.75" customHeight="1">
      <c r="A24" s="7">
        <v>1</v>
      </c>
      <c r="B24" s="224" t="s">
        <v>256</v>
      </c>
      <c r="C24" s="109" t="s">
        <v>26</v>
      </c>
      <c r="D24" s="53">
        <f>D5*12</f>
        <v>36000</v>
      </c>
      <c r="E24" s="72">
        <v>2000</v>
      </c>
      <c r="F24" s="231">
        <f>400/E24</f>
        <v>0.2</v>
      </c>
      <c r="G24" s="114">
        <f>D24/E24</f>
        <v>18</v>
      </c>
      <c r="H24" s="114">
        <f>G24*F24*E24</f>
        <v>7200</v>
      </c>
      <c r="I24" s="226">
        <v>54</v>
      </c>
      <c r="J24" s="117">
        <f t="shared" ref="J24:J27" si="6">G24/I24</f>
        <v>0.33333333333333331</v>
      </c>
      <c r="K24" s="114">
        <f t="shared" ref="K24:K27" si="7">J24*E24</f>
        <v>666.66666666666663</v>
      </c>
      <c r="L24" s="228"/>
    </row>
    <row r="25" spans="1:18" s="210" customFormat="1" ht="21.75" customHeight="1">
      <c r="A25" s="226">
        <v>2</v>
      </c>
      <c r="B25" s="224" t="s">
        <v>258</v>
      </c>
      <c r="C25" s="72" t="s">
        <v>28</v>
      </c>
      <c r="D25" s="53">
        <f>D6*6</f>
        <v>217164</v>
      </c>
      <c r="E25" s="72">
        <v>250</v>
      </c>
      <c r="F25" s="231">
        <f t="shared" ref="F25:F27" si="8">400/E25</f>
        <v>1.6</v>
      </c>
      <c r="G25" s="114">
        <f t="shared" ref="G25:G27" si="9">D25/E25</f>
        <v>868.65599999999995</v>
      </c>
      <c r="H25" s="114">
        <f>G25*F25*E25</f>
        <v>347462.40000000002</v>
      </c>
      <c r="I25" s="226">
        <v>54</v>
      </c>
      <c r="J25" s="117">
        <f t="shared" si="6"/>
        <v>16.086222222222222</v>
      </c>
      <c r="K25" s="114">
        <f t="shared" si="7"/>
        <v>4021.5555555555557</v>
      </c>
      <c r="L25" s="232"/>
    </row>
    <row r="26" spans="1:18" s="210" customFormat="1" ht="21.75" customHeight="1">
      <c r="A26" s="7">
        <v>3</v>
      </c>
      <c r="B26" s="224" t="s">
        <v>265</v>
      </c>
      <c r="C26" s="72" t="s">
        <v>26</v>
      </c>
      <c r="D26" s="53">
        <f>D27*3</f>
        <v>10858.2</v>
      </c>
      <c r="E26" s="72">
        <v>250</v>
      </c>
      <c r="F26" s="231">
        <f t="shared" si="8"/>
        <v>1.6</v>
      </c>
      <c r="G26" s="114">
        <f t="shared" si="9"/>
        <v>43.4328</v>
      </c>
      <c r="H26" s="114">
        <f t="shared" ref="H26:H27" si="10">G26*F26*E26</f>
        <v>17373.12</v>
      </c>
      <c r="I26" s="226">
        <v>54</v>
      </c>
      <c r="J26" s="117">
        <f t="shared" si="6"/>
        <v>0.80431111111111109</v>
      </c>
      <c r="K26" s="114">
        <f t="shared" si="7"/>
        <v>201.07777777777778</v>
      </c>
      <c r="L26" s="232"/>
    </row>
    <row r="27" spans="1:18" s="210" customFormat="1" ht="33.75" customHeight="1">
      <c r="A27" s="226">
        <v>4</v>
      </c>
      <c r="B27" s="233" t="s">
        <v>261</v>
      </c>
      <c r="C27" s="72" t="s">
        <v>28</v>
      </c>
      <c r="D27" s="114">
        <f>D6/100*10</f>
        <v>3619.4</v>
      </c>
      <c r="E27" s="238">
        <v>50</v>
      </c>
      <c r="F27" s="231">
        <f t="shared" si="8"/>
        <v>8</v>
      </c>
      <c r="G27" s="114">
        <f t="shared" si="9"/>
        <v>72.388000000000005</v>
      </c>
      <c r="H27" s="114">
        <f t="shared" si="10"/>
        <v>28955.200000000001</v>
      </c>
      <c r="I27" s="226">
        <v>54</v>
      </c>
      <c r="J27" s="117">
        <f t="shared" si="6"/>
        <v>1.3405185185185187</v>
      </c>
      <c r="K27" s="114">
        <f t="shared" si="7"/>
        <v>67.025925925925932</v>
      </c>
      <c r="L27" s="228"/>
    </row>
    <row r="28" spans="1:18" s="209" customFormat="1" ht="21.75" customHeight="1">
      <c r="A28" s="7">
        <v>5</v>
      </c>
      <c r="B28" s="224" t="s">
        <v>315</v>
      </c>
      <c r="C28" s="72" t="s">
        <v>28</v>
      </c>
      <c r="D28" s="53">
        <v>5000</v>
      </c>
      <c r="E28" s="72">
        <v>50</v>
      </c>
      <c r="F28" s="231">
        <f>400/E28</f>
        <v>8</v>
      </c>
      <c r="G28" s="114">
        <f>D28/E28</f>
        <v>100</v>
      </c>
      <c r="H28" s="114">
        <f>G28*F28*E28</f>
        <v>40000</v>
      </c>
      <c r="I28" s="226">
        <v>33</v>
      </c>
      <c r="J28" s="117">
        <f>G28/I28</f>
        <v>3.0303030303030303</v>
      </c>
      <c r="K28" s="370">
        <f>J28*E28</f>
        <v>151.5151515151515</v>
      </c>
      <c r="L28" s="232"/>
    </row>
    <row r="29" spans="1:18" s="209" customFormat="1" ht="21.75" customHeight="1">
      <c r="A29" s="226">
        <v>6</v>
      </c>
      <c r="B29" s="378" t="s">
        <v>317</v>
      </c>
      <c r="C29" s="72" t="s">
        <v>28</v>
      </c>
      <c r="D29" s="114">
        <f>D28+D27</f>
        <v>8619.4</v>
      </c>
      <c r="E29" s="238">
        <v>250</v>
      </c>
      <c r="F29" s="231">
        <f t="shared" ref="F29" si="11">400/E29</f>
        <v>1.6</v>
      </c>
      <c r="G29" s="114">
        <f t="shared" ref="G29" si="12">D29/E29</f>
        <v>34.477599999999995</v>
      </c>
      <c r="H29" s="114">
        <f t="shared" ref="H29" si="13">G29*F29*E29</f>
        <v>13791.039999999999</v>
      </c>
      <c r="I29" s="226">
        <v>33</v>
      </c>
      <c r="J29" s="369">
        <f t="shared" ref="J29" si="14">G29/I29</f>
        <v>1.0447757575757575</v>
      </c>
      <c r="K29" s="370">
        <f>J29*E29</f>
        <v>261.19393939393939</v>
      </c>
      <c r="L29" s="228"/>
    </row>
    <row r="30" spans="1:18" ht="30.75" customHeight="1">
      <c r="A30" s="747" t="s">
        <v>80</v>
      </c>
      <c r="B30" s="747"/>
      <c r="C30" s="11"/>
      <c r="D30" s="12"/>
      <c r="E30" s="12">
        <v>0</v>
      </c>
      <c r="F30" s="12">
        <v>0</v>
      </c>
      <c r="G30" s="192">
        <f>SUM(G24:G29)</f>
        <v>1136.9543999999999</v>
      </c>
      <c r="H30" s="192">
        <f>SUM(H24:H29)</f>
        <v>454781.76</v>
      </c>
      <c r="I30" s="214"/>
      <c r="J30" s="196">
        <f>SUM(J24:J29)</f>
        <v>22.639463973063972</v>
      </c>
      <c r="K30" s="759"/>
      <c r="L30" s="760"/>
    </row>
    <row r="31" spans="1:18" ht="29.25" customHeight="1">
      <c r="A31" s="756" t="s">
        <v>255</v>
      </c>
      <c r="B31" s="756"/>
      <c r="C31" s="199"/>
      <c r="D31" s="199">
        <v>0</v>
      </c>
      <c r="E31" s="199">
        <v>0</v>
      </c>
      <c r="F31" s="200">
        <v>0</v>
      </c>
      <c r="G31" s="200">
        <f>SUM(G9+G16+G21+G30)</f>
        <v>3622.9673999999995</v>
      </c>
      <c r="H31" s="200">
        <f>SUM(H9+H16+H21+H30)</f>
        <v>1449186.96</v>
      </c>
      <c r="I31" s="217"/>
      <c r="J31" s="201"/>
      <c r="K31" s="202"/>
      <c r="L31" s="202"/>
    </row>
    <row r="32" spans="1:18" s="219" customFormat="1" ht="27.75" customHeight="1">
      <c r="A32" s="757" t="s">
        <v>266</v>
      </c>
      <c r="B32" s="757"/>
      <c r="C32" s="220"/>
      <c r="D32" s="220"/>
      <c r="E32" s="220"/>
      <c r="F32" s="220"/>
      <c r="G32" s="220"/>
      <c r="H32" s="221">
        <f>H31/67</f>
        <v>21629.656119402985</v>
      </c>
      <c r="I32" s="222"/>
      <c r="J32" s="223"/>
      <c r="K32" s="223"/>
      <c r="L32" s="220"/>
    </row>
    <row r="33" spans="1:12" s="244" customFormat="1" ht="36" customHeight="1">
      <c r="A33" s="721" t="s">
        <v>321</v>
      </c>
      <c r="B33" s="721"/>
      <c r="C33" s="721"/>
      <c r="D33" s="68"/>
      <c r="E33" s="68"/>
      <c r="F33" s="176"/>
      <c r="G33" s="68" t="s">
        <v>44</v>
      </c>
      <c r="H33" s="68" t="s">
        <v>217</v>
      </c>
      <c r="J33" s="248"/>
      <c r="L33" s="68"/>
    </row>
    <row r="34" spans="1:12" s="244" customFormat="1" ht="45.75" customHeight="1">
      <c r="A34" s="267" t="s">
        <v>318</v>
      </c>
      <c r="B34" s="268"/>
      <c r="C34" s="269" t="s">
        <v>48</v>
      </c>
      <c r="D34" s="270"/>
      <c r="E34" s="270"/>
      <c r="F34" s="269" t="s">
        <v>200</v>
      </c>
      <c r="G34" s="39"/>
      <c r="H34" s="324"/>
      <c r="I34" s="270" t="s">
        <v>320</v>
      </c>
      <c r="J34" s="324" t="s">
        <v>49</v>
      </c>
      <c r="K34" s="324"/>
      <c r="L34" s="39"/>
    </row>
    <row r="35" spans="1:12" s="244" customFormat="1" ht="31.5" customHeight="1">
      <c r="A35" s="271"/>
      <c r="B35" s="272"/>
      <c r="C35" s="271" t="s">
        <v>286</v>
      </c>
      <c r="D35" s="271"/>
      <c r="E35" s="271"/>
      <c r="F35" s="244" t="s">
        <v>52</v>
      </c>
      <c r="G35" s="271"/>
      <c r="H35" s="325"/>
      <c r="I35" s="271"/>
      <c r="J35" s="325" t="s">
        <v>54</v>
      </c>
      <c r="K35" s="326"/>
      <c r="L35" s="323" t="s">
        <v>81</v>
      </c>
    </row>
  </sheetData>
  <mergeCells count="19">
    <mergeCell ref="K30:L30"/>
    <mergeCell ref="A31:B31"/>
    <mergeCell ref="A32:B32"/>
    <mergeCell ref="A33:C33"/>
    <mergeCell ref="A21:B21"/>
    <mergeCell ref="K21:L21"/>
    <mergeCell ref="A22:L22"/>
    <mergeCell ref="A30:B30"/>
    <mergeCell ref="A1:L1"/>
    <mergeCell ref="A2:L2"/>
    <mergeCell ref="A3:L3"/>
    <mergeCell ref="A4:B4"/>
    <mergeCell ref="A9:B9"/>
    <mergeCell ref="K9:L9"/>
    <mergeCell ref="A10:L10"/>
    <mergeCell ref="A11:B11"/>
    <mergeCell ref="A16:B16"/>
    <mergeCell ref="K16:L16"/>
    <mergeCell ref="A17:L17"/>
  </mergeCells>
  <printOptions horizontalCentered="1"/>
  <pageMargins left="0.35" right="0.36" top="0.32" bottom="0.28999999999999998" header="0.17" footer="0.18"/>
  <pageSetup paperSize="9"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33"/>
  <sheetViews>
    <sheetView rightToLeft="1" view="pageBreakPreview" topLeftCell="A4" zoomScale="70" zoomScaleSheetLayoutView="70" workbookViewId="0">
      <selection activeCell="A14" sqref="A14:B14"/>
    </sheetView>
  </sheetViews>
  <sheetFormatPr defaultColWidth="9.125" defaultRowHeight="15"/>
  <cols>
    <col min="1" max="1" width="7" style="120" customWidth="1"/>
    <col min="2" max="2" width="48.25" style="120" customWidth="1"/>
    <col min="3" max="3" width="10" style="120" customWidth="1"/>
    <col min="4" max="4" width="17" style="120" bestFit="1" customWidth="1"/>
    <col min="5" max="5" width="13.25" style="120" customWidth="1"/>
    <col min="6" max="6" width="14.625" style="120" customWidth="1"/>
    <col min="7" max="7" width="14.75" style="120" customWidth="1"/>
    <col min="8" max="8" width="18.625" style="120" customWidth="1"/>
    <col min="9" max="9" width="13.125" style="218" customWidth="1"/>
    <col min="10" max="10" width="13.125" style="212" customWidth="1"/>
    <col min="11" max="11" width="19" style="212" customWidth="1"/>
    <col min="12" max="12" width="48.375" style="120" customWidth="1"/>
    <col min="13" max="13" width="10.75" style="120" bestFit="1" customWidth="1"/>
    <col min="14" max="14" width="17.625" style="120" customWidth="1"/>
    <col min="15" max="15" width="17" style="120" customWidth="1"/>
    <col min="16" max="16" width="24.125" style="120" customWidth="1"/>
    <col min="17" max="17" width="9.125" style="120"/>
    <col min="18" max="18" width="11.75" style="120" customWidth="1"/>
    <col min="19" max="19" width="9.125" style="120"/>
    <col min="20" max="20" width="13.375" style="120" customWidth="1"/>
    <col min="21" max="16384" width="9.125" style="120"/>
  </cols>
  <sheetData>
    <row r="1" spans="1:18" ht="60.75" customHeight="1">
      <c r="A1" s="750" t="s">
        <v>272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</row>
    <row r="2" spans="1:18" ht="27.75" customHeight="1">
      <c r="A2" s="751" t="s">
        <v>215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N2" s="34"/>
    </row>
    <row r="3" spans="1:18" s="141" customFormat="1" ht="32.25" customHeight="1">
      <c r="A3" s="745" t="s">
        <v>148</v>
      </c>
      <c r="B3" s="745"/>
      <c r="C3" s="745"/>
      <c r="D3" s="745"/>
      <c r="E3" s="745"/>
      <c r="F3" s="745"/>
      <c r="G3" s="745"/>
      <c r="H3" s="745"/>
      <c r="I3" s="745"/>
      <c r="J3" s="745"/>
      <c r="K3" s="745"/>
      <c r="L3" s="745"/>
    </row>
    <row r="4" spans="1:18" s="208" customFormat="1" ht="35.25" customHeight="1">
      <c r="A4" s="752" t="s">
        <v>2</v>
      </c>
      <c r="B4" s="752"/>
      <c r="C4" s="206" t="s">
        <v>3</v>
      </c>
      <c r="D4" s="206" t="s">
        <v>4</v>
      </c>
      <c r="E4" s="206" t="s">
        <v>5</v>
      </c>
      <c r="F4" s="206" t="s">
        <v>6</v>
      </c>
      <c r="G4" s="206" t="s">
        <v>59</v>
      </c>
      <c r="H4" s="206" t="s">
        <v>60</v>
      </c>
      <c r="I4" s="213" t="s">
        <v>9</v>
      </c>
      <c r="J4" s="206" t="s">
        <v>79</v>
      </c>
      <c r="K4" s="206" t="s">
        <v>247</v>
      </c>
      <c r="L4" s="207" t="s">
        <v>12</v>
      </c>
    </row>
    <row r="5" spans="1:18" s="209" customFormat="1" ht="26.25" customHeight="1">
      <c r="A5" s="226">
        <v>1</v>
      </c>
      <c r="B5" s="224" t="s">
        <v>267</v>
      </c>
      <c r="C5" s="226" t="s">
        <v>28</v>
      </c>
      <c r="D5" s="114">
        <v>5000</v>
      </c>
      <c r="E5" s="72">
        <v>2000</v>
      </c>
      <c r="F5" s="236">
        <f>400/E5</f>
        <v>0.2</v>
      </c>
      <c r="G5" s="114"/>
      <c r="H5" s="114">
        <f>G5*F5*E5</f>
        <v>0</v>
      </c>
      <c r="I5" s="226">
        <v>22</v>
      </c>
      <c r="J5" s="117">
        <f t="shared" ref="J5:J6" si="0">G5/I5</f>
        <v>0</v>
      </c>
      <c r="K5" s="114">
        <f t="shared" ref="K5:K6" si="1">J5*E5</f>
        <v>0</v>
      </c>
      <c r="L5" s="228"/>
    </row>
    <row r="6" spans="1:18" s="209" customFormat="1" ht="26.25" customHeight="1">
      <c r="A6" s="109">
        <v>2</v>
      </c>
      <c r="B6" s="224" t="s">
        <v>258</v>
      </c>
      <c r="C6" s="72" t="s">
        <v>28</v>
      </c>
      <c r="D6" s="53">
        <f>23000/100*50+2400</f>
        <v>13900</v>
      </c>
      <c r="E6" s="72">
        <v>250</v>
      </c>
      <c r="F6" s="205">
        <v>0.2</v>
      </c>
      <c r="G6" s="114"/>
      <c r="H6" s="114">
        <f>G6*F6*E6</f>
        <v>0</v>
      </c>
      <c r="I6" s="226">
        <v>22</v>
      </c>
      <c r="J6" s="117">
        <f t="shared" si="0"/>
        <v>0</v>
      </c>
      <c r="K6" s="114">
        <f t="shared" si="1"/>
        <v>0</v>
      </c>
      <c r="L6" s="237"/>
    </row>
    <row r="7" spans="1:18" s="44" customFormat="1" ht="32.25" customHeight="1">
      <c r="A7" s="747" t="s">
        <v>248</v>
      </c>
      <c r="B7" s="747"/>
      <c r="C7" s="11"/>
      <c r="D7" s="12"/>
      <c r="E7" s="12"/>
      <c r="F7" s="12"/>
      <c r="G7" s="192">
        <f>SUM(G5:G6)</f>
        <v>0</v>
      </c>
      <c r="H7" s="192">
        <f>SUM(H5:H6)</f>
        <v>0</v>
      </c>
      <c r="I7" s="214"/>
      <c r="J7" s="203">
        <f>SUM(J5:J6)</f>
        <v>0</v>
      </c>
      <c r="K7" s="753"/>
      <c r="L7" s="754"/>
    </row>
    <row r="8" spans="1:18" s="44" customFormat="1" ht="36.75" customHeight="1">
      <c r="A8" s="745" t="s">
        <v>149</v>
      </c>
      <c r="B8" s="745"/>
      <c r="C8" s="745"/>
      <c r="D8" s="745"/>
      <c r="E8" s="745"/>
      <c r="F8" s="745"/>
      <c r="G8" s="745"/>
      <c r="H8" s="745"/>
      <c r="I8" s="745"/>
      <c r="J8" s="745"/>
      <c r="K8" s="745"/>
      <c r="L8" s="745"/>
    </row>
    <row r="9" spans="1:18" s="209" customFormat="1" ht="36.75" customHeight="1">
      <c r="A9" s="746" t="s">
        <v>2</v>
      </c>
      <c r="B9" s="746"/>
      <c r="C9" s="138" t="s">
        <v>3</v>
      </c>
      <c r="D9" s="138" t="s">
        <v>4</v>
      </c>
      <c r="E9" s="138" t="s">
        <v>5</v>
      </c>
      <c r="F9" s="138" t="s">
        <v>6</v>
      </c>
      <c r="G9" s="138" t="s">
        <v>59</v>
      </c>
      <c r="H9" s="138" t="s">
        <v>60</v>
      </c>
      <c r="I9" s="215" t="s">
        <v>9</v>
      </c>
      <c r="J9" s="138" t="s">
        <v>79</v>
      </c>
      <c r="K9" s="138" t="s">
        <v>247</v>
      </c>
      <c r="L9" s="136" t="s">
        <v>12</v>
      </c>
    </row>
    <row r="10" spans="1:18" s="210" customFormat="1" ht="24.75" customHeight="1">
      <c r="A10" s="109">
        <v>1</v>
      </c>
      <c r="B10" s="224" t="s">
        <v>267</v>
      </c>
      <c r="C10" s="72" t="s">
        <v>28</v>
      </c>
      <c r="D10" s="53">
        <f>D5*9</f>
        <v>45000</v>
      </c>
      <c r="E10" s="72">
        <v>2000</v>
      </c>
      <c r="F10" s="234">
        <f>400/E10</f>
        <v>0.2</v>
      </c>
      <c r="G10" s="114">
        <f>D10/E10</f>
        <v>22.5</v>
      </c>
      <c r="H10" s="114">
        <f>G10*F10*E10</f>
        <v>9000</v>
      </c>
      <c r="I10" s="226">
        <v>66</v>
      </c>
      <c r="J10" s="117">
        <f t="shared" ref="J10:J13" si="2">G10/I10</f>
        <v>0.34090909090909088</v>
      </c>
      <c r="K10" s="114">
        <f>J10*E10</f>
        <v>681.81818181818176</v>
      </c>
      <c r="L10" s="228"/>
      <c r="M10" s="229"/>
      <c r="R10" s="230"/>
    </row>
    <row r="11" spans="1:18" s="210" customFormat="1" ht="36" customHeight="1">
      <c r="A11" s="7">
        <v>2</v>
      </c>
      <c r="B11" s="224" t="s">
        <v>259</v>
      </c>
      <c r="C11" s="225" t="s">
        <v>28</v>
      </c>
      <c r="D11" s="114">
        <f>D6*6</f>
        <v>83400</v>
      </c>
      <c r="E11" s="226">
        <v>250</v>
      </c>
      <c r="F11" s="235">
        <f>400/E11</f>
        <v>1.6</v>
      </c>
      <c r="G11" s="114">
        <f t="shared" ref="G11:G13" si="3">D11/E11</f>
        <v>333.6</v>
      </c>
      <c r="H11" s="114">
        <f>(G11*F11*E11)</f>
        <v>133440.00000000003</v>
      </c>
      <c r="I11" s="226">
        <v>66</v>
      </c>
      <c r="J11" s="117">
        <f t="shared" si="2"/>
        <v>5.0545454545454547</v>
      </c>
      <c r="K11" s="114">
        <f t="shared" ref="K11:K13" si="4">J11*E11</f>
        <v>1263.6363636363637</v>
      </c>
      <c r="L11" s="228"/>
      <c r="M11" s="229"/>
      <c r="R11" s="230"/>
    </row>
    <row r="12" spans="1:18" s="210" customFormat="1" ht="25.5" customHeight="1">
      <c r="A12" s="7">
        <v>3</v>
      </c>
      <c r="B12" s="224" t="s">
        <v>257</v>
      </c>
      <c r="C12" s="225" t="s">
        <v>28</v>
      </c>
      <c r="D12" s="114">
        <f>D6/100*20</f>
        <v>2780</v>
      </c>
      <c r="E12" s="226">
        <v>100</v>
      </c>
      <c r="F12" s="235">
        <f>400/E12</f>
        <v>4</v>
      </c>
      <c r="G12" s="114">
        <f t="shared" si="3"/>
        <v>27.8</v>
      </c>
      <c r="H12" s="114">
        <f>(G12*F12*E12)</f>
        <v>11120</v>
      </c>
      <c r="I12" s="226">
        <v>66</v>
      </c>
      <c r="J12" s="117">
        <f t="shared" si="2"/>
        <v>0.4212121212121212</v>
      </c>
      <c r="K12" s="114">
        <f t="shared" si="4"/>
        <v>42.121212121212118</v>
      </c>
      <c r="L12" s="228"/>
      <c r="M12" s="229"/>
      <c r="R12" s="230"/>
    </row>
    <row r="13" spans="1:18" s="210" customFormat="1" ht="25.5" customHeight="1">
      <c r="A13" s="7">
        <v>4</v>
      </c>
      <c r="B13" s="224" t="s">
        <v>260</v>
      </c>
      <c r="C13" s="72" t="s">
        <v>28</v>
      </c>
      <c r="D13" s="114">
        <f>D6</f>
        <v>13900</v>
      </c>
      <c r="E13" s="226">
        <v>400</v>
      </c>
      <c r="F13" s="235">
        <f>400/E13</f>
        <v>1</v>
      </c>
      <c r="G13" s="114">
        <f t="shared" si="3"/>
        <v>34.75</v>
      </c>
      <c r="H13" s="114">
        <f>(G13*F13*E13)</f>
        <v>13900</v>
      </c>
      <c r="I13" s="226">
        <v>66</v>
      </c>
      <c r="J13" s="117">
        <f t="shared" si="2"/>
        <v>0.52651515151515149</v>
      </c>
      <c r="K13" s="114">
        <f t="shared" si="4"/>
        <v>210.60606060606059</v>
      </c>
      <c r="L13" s="228"/>
      <c r="M13" s="229"/>
      <c r="R13" s="230"/>
    </row>
    <row r="14" spans="1:18" ht="30" customHeight="1">
      <c r="A14" s="747" t="s">
        <v>251</v>
      </c>
      <c r="B14" s="747"/>
      <c r="C14" s="11"/>
      <c r="D14" s="12"/>
      <c r="E14" s="12"/>
      <c r="F14" s="12"/>
      <c r="G14" s="192">
        <f>SUM(G10:G13)</f>
        <v>418.65000000000003</v>
      </c>
      <c r="H14" s="192">
        <f>SUM(H10:H13)</f>
        <v>167460.00000000003</v>
      </c>
      <c r="I14" s="214"/>
      <c r="J14" s="193">
        <f>SUM(J10:J13)</f>
        <v>6.3431818181818178</v>
      </c>
      <c r="K14" s="748"/>
      <c r="L14" s="749"/>
      <c r="M14" s="112"/>
      <c r="R14" s="34"/>
    </row>
    <row r="15" spans="1:18" ht="35.25" customHeight="1">
      <c r="A15" s="745" t="s">
        <v>61</v>
      </c>
      <c r="B15" s="745"/>
      <c r="C15" s="745"/>
      <c r="D15" s="745"/>
      <c r="E15" s="745"/>
      <c r="F15" s="745"/>
      <c r="G15" s="745"/>
      <c r="H15" s="745"/>
      <c r="I15" s="745"/>
      <c r="J15" s="745"/>
      <c r="K15" s="745"/>
      <c r="L15" s="745"/>
    </row>
    <row r="16" spans="1:18" s="210" customFormat="1" ht="39" customHeight="1">
      <c r="A16" s="29" t="s">
        <v>1</v>
      </c>
      <c r="B16" s="204" t="s">
        <v>78</v>
      </c>
      <c r="C16" s="138" t="s">
        <v>3</v>
      </c>
      <c r="D16" s="138" t="s">
        <v>4</v>
      </c>
      <c r="E16" s="138" t="s">
        <v>5</v>
      </c>
      <c r="F16" s="138" t="s">
        <v>6</v>
      </c>
      <c r="G16" s="138" t="s">
        <v>59</v>
      </c>
      <c r="H16" s="138" t="s">
        <v>60</v>
      </c>
      <c r="I16" s="215" t="s">
        <v>33</v>
      </c>
      <c r="J16" s="138" t="s">
        <v>34</v>
      </c>
      <c r="K16" s="194" t="s">
        <v>247</v>
      </c>
      <c r="L16" s="194" t="s">
        <v>12</v>
      </c>
    </row>
    <row r="17" spans="1:18" s="210" customFormat="1" ht="23.25" customHeight="1">
      <c r="A17" s="7">
        <v>1</v>
      </c>
      <c r="B17" s="224" t="s">
        <v>256</v>
      </c>
      <c r="C17" s="225" t="s">
        <v>252</v>
      </c>
      <c r="D17" s="114">
        <f>D5*12</f>
        <v>60000</v>
      </c>
      <c r="E17" s="226">
        <v>2000</v>
      </c>
      <c r="F17" s="227">
        <f>400/E17</f>
        <v>0.2</v>
      </c>
      <c r="G17" s="114">
        <f>D17/E17</f>
        <v>30</v>
      </c>
      <c r="H17" s="114">
        <f>G17*F17*E17</f>
        <v>12000</v>
      </c>
      <c r="I17" s="226">
        <v>66</v>
      </c>
      <c r="J17" s="117">
        <f>G17/I17</f>
        <v>0.45454545454545453</v>
      </c>
      <c r="K17" s="117">
        <f t="shared" ref="K17" si="5">J17*E17</f>
        <v>909.09090909090901</v>
      </c>
      <c r="L17" s="228"/>
      <c r="M17" s="229"/>
      <c r="R17" s="230"/>
    </row>
    <row r="18" spans="1:18" s="210" customFormat="1" ht="23.25" customHeight="1">
      <c r="A18" s="59">
        <v>2</v>
      </c>
      <c r="B18" s="224" t="s">
        <v>258</v>
      </c>
      <c r="C18" s="22" t="s">
        <v>249</v>
      </c>
      <c r="D18" s="53">
        <f>D6*9</f>
        <v>125100</v>
      </c>
      <c r="E18" s="72">
        <v>250</v>
      </c>
      <c r="F18" s="195">
        <f>400/E18</f>
        <v>1.6</v>
      </c>
      <c r="G18" s="53">
        <f>D18/E18</f>
        <v>500.4</v>
      </c>
      <c r="H18" s="53">
        <f>G18*F18*E18</f>
        <v>200160</v>
      </c>
      <c r="I18" s="216">
        <v>66</v>
      </c>
      <c r="J18" s="42">
        <f>G18/I18</f>
        <v>7.5818181818181811</v>
      </c>
      <c r="K18" s="117">
        <f>J18*E18</f>
        <v>1895.4545454545453</v>
      </c>
      <c r="L18" s="228"/>
      <c r="M18" s="229"/>
      <c r="R18" s="230"/>
    </row>
    <row r="19" spans="1:18" ht="33" customHeight="1">
      <c r="A19" s="758" t="s">
        <v>83</v>
      </c>
      <c r="B19" s="758"/>
      <c r="C19" s="11"/>
      <c r="D19" s="12"/>
      <c r="E19" s="12"/>
      <c r="F19" s="12"/>
      <c r="G19" s="192">
        <f>SUM(G17:G18)</f>
        <v>530.4</v>
      </c>
      <c r="H19" s="192">
        <f>SUM(H17:H18)</f>
        <v>212160</v>
      </c>
      <c r="I19" s="214"/>
      <c r="J19" s="196">
        <f>SUM(J17:J18)</f>
        <v>8.0363636363636353</v>
      </c>
      <c r="K19" s="759"/>
      <c r="L19" s="760"/>
      <c r="M19" s="112"/>
      <c r="R19" s="34"/>
    </row>
    <row r="20" spans="1:18" ht="36" customHeight="1">
      <c r="A20" s="745" t="s">
        <v>263</v>
      </c>
      <c r="B20" s="745"/>
      <c r="C20" s="745"/>
      <c r="D20" s="745"/>
      <c r="E20" s="745"/>
      <c r="F20" s="745"/>
      <c r="G20" s="745"/>
      <c r="H20" s="745"/>
      <c r="I20" s="745"/>
      <c r="J20" s="745"/>
      <c r="K20" s="745"/>
      <c r="L20" s="745"/>
      <c r="M20" s="112"/>
      <c r="R20" s="34"/>
    </row>
    <row r="21" spans="1:18" s="210" customFormat="1" ht="38.25" customHeight="1">
      <c r="A21" s="136" t="s">
        <v>1</v>
      </c>
      <c r="B21" s="211" t="s">
        <v>30</v>
      </c>
      <c r="C21" s="197" t="s">
        <v>3</v>
      </c>
      <c r="D21" s="138" t="s">
        <v>31</v>
      </c>
      <c r="E21" s="138" t="s">
        <v>5</v>
      </c>
      <c r="F21" s="138" t="s">
        <v>6</v>
      </c>
      <c r="G21" s="138" t="s">
        <v>32</v>
      </c>
      <c r="H21" s="138" t="s">
        <v>8</v>
      </c>
      <c r="I21" s="215" t="s">
        <v>254</v>
      </c>
      <c r="J21" s="138" t="s">
        <v>79</v>
      </c>
      <c r="K21" s="138" t="s">
        <v>247</v>
      </c>
      <c r="L21" s="198" t="s">
        <v>12</v>
      </c>
    </row>
    <row r="22" spans="1:18" s="210" customFormat="1" ht="24" customHeight="1">
      <c r="A22" s="7">
        <v>1</v>
      </c>
      <c r="B22" s="224" t="s">
        <v>256</v>
      </c>
      <c r="C22" s="109" t="s">
        <v>28</v>
      </c>
      <c r="D22" s="53">
        <f>D5*12</f>
        <v>60000</v>
      </c>
      <c r="E22" s="72">
        <v>2000</v>
      </c>
      <c r="F22" s="231">
        <f>400/E22</f>
        <v>0.2</v>
      </c>
      <c r="G22" s="114">
        <f>D22/E22</f>
        <v>30</v>
      </c>
      <c r="H22" s="114">
        <f>G22*F22*E22</f>
        <v>12000</v>
      </c>
      <c r="I22" s="226">
        <v>54</v>
      </c>
      <c r="J22" s="117">
        <f t="shared" ref="J22:J25" si="6">G22/I22</f>
        <v>0.55555555555555558</v>
      </c>
      <c r="K22" s="114">
        <f t="shared" ref="K22:K25" si="7">J22*E22</f>
        <v>1111.1111111111111</v>
      </c>
      <c r="L22" s="228"/>
    </row>
    <row r="23" spans="1:18" s="210" customFormat="1" ht="29.25" customHeight="1">
      <c r="A23" s="226">
        <v>2</v>
      </c>
      <c r="B23" s="224" t="s">
        <v>258</v>
      </c>
      <c r="C23" s="72" t="s">
        <v>28</v>
      </c>
      <c r="D23" s="53">
        <f>D6*6</f>
        <v>83400</v>
      </c>
      <c r="E23" s="72">
        <v>250</v>
      </c>
      <c r="F23" s="231">
        <f t="shared" ref="F23:F25" si="8">400/E23</f>
        <v>1.6</v>
      </c>
      <c r="G23" s="114">
        <f t="shared" ref="G23:G25" si="9">D23/E23</f>
        <v>333.6</v>
      </c>
      <c r="H23" s="114">
        <f>G23*F23*E23</f>
        <v>133440.00000000003</v>
      </c>
      <c r="I23" s="226">
        <v>54</v>
      </c>
      <c r="J23" s="117">
        <f t="shared" si="6"/>
        <v>6.177777777777778</v>
      </c>
      <c r="K23" s="114">
        <f t="shared" si="7"/>
        <v>1544.4444444444446</v>
      </c>
      <c r="L23" s="232"/>
    </row>
    <row r="24" spans="1:18" s="210" customFormat="1" ht="29.25" customHeight="1">
      <c r="A24" s="7">
        <v>3</v>
      </c>
      <c r="B24" s="224" t="s">
        <v>265</v>
      </c>
      <c r="C24" s="72" t="s">
        <v>28</v>
      </c>
      <c r="D24" s="53">
        <f>D25*3</f>
        <v>4170</v>
      </c>
      <c r="E24" s="72">
        <v>250</v>
      </c>
      <c r="F24" s="231">
        <f t="shared" si="8"/>
        <v>1.6</v>
      </c>
      <c r="G24" s="114">
        <f t="shared" si="9"/>
        <v>16.68</v>
      </c>
      <c r="H24" s="114">
        <f t="shared" ref="H24:H25" si="10">G24*F24*E24</f>
        <v>6672.0000000000009</v>
      </c>
      <c r="I24" s="226">
        <v>54</v>
      </c>
      <c r="J24" s="117">
        <f t="shared" si="6"/>
        <v>0.30888888888888888</v>
      </c>
      <c r="K24" s="114">
        <f t="shared" si="7"/>
        <v>77.222222222222214</v>
      </c>
      <c r="L24" s="232"/>
    </row>
    <row r="25" spans="1:18" s="210" customFormat="1" ht="33.75" customHeight="1">
      <c r="A25" s="226">
        <v>4</v>
      </c>
      <c r="B25" s="233" t="s">
        <v>261</v>
      </c>
      <c r="C25" s="72" t="s">
        <v>28</v>
      </c>
      <c r="D25" s="114">
        <f>D6/100*10</f>
        <v>1390</v>
      </c>
      <c r="E25" s="238">
        <v>50</v>
      </c>
      <c r="F25" s="231">
        <f t="shared" si="8"/>
        <v>8</v>
      </c>
      <c r="G25" s="114">
        <f t="shared" si="9"/>
        <v>27.8</v>
      </c>
      <c r="H25" s="114">
        <f t="shared" si="10"/>
        <v>11120</v>
      </c>
      <c r="I25" s="226">
        <v>33</v>
      </c>
      <c r="J25" s="117">
        <f t="shared" si="6"/>
        <v>0.84242424242424241</v>
      </c>
      <c r="K25" s="114">
        <f t="shared" si="7"/>
        <v>42.121212121212118</v>
      </c>
      <c r="L25" s="228"/>
      <c r="M25" s="210">
        <v>26170</v>
      </c>
    </row>
    <row r="26" spans="1:18" s="210" customFormat="1" ht="21.75" customHeight="1">
      <c r="A26" s="7">
        <v>5</v>
      </c>
      <c r="B26" s="224" t="s">
        <v>315</v>
      </c>
      <c r="C26" s="72" t="s">
        <v>28</v>
      </c>
      <c r="D26" s="53">
        <v>4000</v>
      </c>
      <c r="E26" s="72">
        <v>50</v>
      </c>
      <c r="F26" s="231">
        <f>400/E26</f>
        <v>8</v>
      </c>
      <c r="G26" s="114">
        <f>D26/E26</f>
        <v>80</v>
      </c>
      <c r="H26" s="114">
        <f>G26*F26*E26</f>
        <v>32000</v>
      </c>
      <c r="I26" s="226">
        <v>33</v>
      </c>
      <c r="J26" s="117">
        <f>G26/I26</f>
        <v>2.4242424242424243</v>
      </c>
      <c r="K26" s="370">
        <f>J26*E26</f>
        <v>121.21212121212122</v>
      </c>
      <c r="L26" s="232"/>
      <c r="M26" s="210">
        <f>M25+'بنی حصار'!D27</f>
        <v>29789.4</v>
      </c>
    </row>
    <row r="27" spans="1:18" s="210" customFormat="1" ht="21" customHeight="1">
      <c r="A27" s="226">
        <v>6</v>
      </c>
      <c r="B27" s="233" t="s">
        <v>317</v>
      </c>
      <c r="C27" s="72" t="s">
        <v>28</v>
      </c>
      <c r="D27" s="114">
        <f>D26+D25</f>
        <v>5390</v>
      </c>
      <c r="E27" s="238">
        <v>250</v>
      </c>
      <c r="F27" s="231">
        <f t="shared" ref="F27" si="11">400/E27</f>
        <v>1.6</v>
      </c>
      <c r="G27" s="114">
        <f t="shared" ref="G27" si="12">D27/E27</f>
        <v>21.56</v>
      </c>
      <c r="H27" s="114">
        <f t="shared" ref="H27" si="13">G27*F27*E27</f>
        <v>8624</v>
      </c>
      <c r="I27" s="226">
        <v>33</v>
      </c>
      <c r="J27" s="369">
        <f t="shared" ref="J27" si="14">G27/I27</f>
        <v>0.65333333333333332</v>
      </c>
      <c r="K27" s="370">
        <f t="shared" ref="K27" si="15">J27*E27</f>
        <v>163.33333333333334</v>
      </c>
      <c r="L27" s="228"/>
      <c r="M27" s="210">
        <f>M25+'بادام باغ 1'!D25</f>
        <v>29150</v>
      </c>
    </row>
    <row r="28" spans="1:18" ht="30.75" customHeight="1">
      <c r="A28" s="747" t="s">
        <v>80</v>
      </c>
      <c r="B28" s="747"/>
      <c r="C28" s="11"/>
      <c r="D28" s="12"/>
      <c r="E28" s="12">
        <v>0</v>
      </c>
      <c r="F28" s="12">
        <v>0</v>
      </c>
      <c r="G28" s="192">
        <f>SUM(G22:G27)</f>
        <v>509.64000000000004</v>
      </c>
      <c r="H28" s="192">
        <f>SUM(H22:H27)</f>
        <v>203856.00000000003</v>
      </c>
      <c r="I28" s="214"/>
      <c r="J28" s="196">
        <f>SUM(J22:J25)</f>
        <v>7.8846464646464653</v>
      </c>
      <c r="K28" s="759"/>
      <c r="L28" s="760"/>
      <c r="M28" s="120">
        <f>M27+'تپه مرنجان'!D25+'تنگی غارو1'!D25+'کلوله پشته'!D25</f>
        <v>32126</v>
      </c>
    </row>
    <row r="29" spans="1:18" ht="29.25" customHeight="1">
      <c r="A29" s="756" t="s">
        <v>255</v>
      </c>
      <c r="B29" s="756"/>
      <c r="C29" s="199"/>
      <c r="D29" s="199">
        <v>0</v>
      </c>
      <c r="E29" s="199">
        <v>0</v>
      </c>
      <c r="F29" s="200">
        <v>0</v>
      </c>
      <c r="G29" s="200">
        <f>SUM(G7+G14+G19+G28)</f>
        <v>1458.69</v>
      </c>
      <c r="H29" s="200">
        <f>SUM(H7+H14+H19+H28)</f>
        <v>583476</v>
      </c>
      <c r="I29" s="217"/>
      <c r="J29" s="201"/>
      <c r="K29" s="202"/>
      <c r="L29" s="202"/>
    </row>
    <row r="30" spans="1:18" s="219" customFormat="1" ht="27.75" customHeight="1">
      <c r="A30" s="757" t="s">
        <v>266</v>
      </c>
      <c r="B30" s="757"/>
      <c r="C30" s="220"/>
      <c r="D30" s="220"/>
      <c r="E30" s="220"/>
      <c r="F30" s="220"/>
      <c r="G30" s="220"/>
      <c r="H30" s="221">
        <f>H29/68.34</f>
        <v>8537.8402107111506</v>
      </c>
      <c r="I30" s="222"/>
      <c r="J30" s="223"/>
      <c r="K30" s="223"/>
      <c r="L30" s="220"/>
    </row>
    <row r="31" spans="1:18" s="244" customFormat="1" ht="37.5" customHeight="1">
      <c r="A31" s="721" t="s">
        <v>321</v>
      </c>
      <c r="B31" s="721"/>
      <c r="C31" s="721"/>
      <c r="D31" s="68"/>
      <c r="E31" s="68"/>
      <c r="F31" s="176"/>
      <c r="G31" s="68" t="s">
        <v>44</v>
      </c>
      <c r="H31" s="68" t="s">
        <v>217</v>
      </c>
      <c r="J31" s="248"/>
      <c r="L31" s="68"/>
    </row>
    <row r="32" spans="1:18" s="244" customFormat="1" ht="39.75" customHeight="1">
      <c r="A32" s="267" t="s">
        <v>318</v>
      </c>
      <c r="B32" s="268"/>
      <c r="C32" s="269" t="s">
        <v>48</v>
      </c>
      <c r="D32" s="270"/>
      <c r="E32" s="270"/>
      <c r="F32" s="269" t="s">
        <v>200</v>
      </c>
      <c r="G32" s="39"/>
      <c r="H32" s="324"/>
      <c r="I32" s="270" t="s">
        <v>320</v>
      </c>
      <c r="J32" s="324" t="s">
        <v>49</v>
      </c>
      <c r="K32" s="324"/>
      <c r="L32" s="39"/>
    </row>
    <row r="33" spans="1:12" s="244" customFormat="1" ht="26.25" customHeight="1">
      <c r="A33" s="271"/>
      <c r="B33" s="272"/>
      <c r="C33" s="271" t="s">
        <v>286</v>
      </c>
      <c r="D33" s="271"/>
      <c r="E33" s="271"/>
      <c r="F33" s="244" t="s">
        <v>52</v>
      </c>
      <c r="G33" s="271"/>
      <c r="H33" s="325"/>
      <c r="I33" s="271"/>
      <c r="J33" s="325" t="s">
        <v>54</v>
      </c>
      <c r="K33" s="326"/>
      <c r="L33" s="323" t="s">
        <v>81</v>
      </c>
    </row>
  </sheetData>
  <mergeCells count="19">
    <mergeCell ref="K28:L28"/>
    <mergeCell ref="A29:B29"/>
    <mergeCell ref="A30:B30"/>
    <mergeCell ref="A31:C31"/>
    <mergeCell ref="A19:B19"/>
    <mergeCell ref="K19:L19"/>
    <mergeCell ref="A20:L20"/>
    <mergeCell ref="A28:B28"/>
    <mergeCell ref="A1:L1"/>
    <mergeCell ref="A2:L2"/>
    <mergeCell ref="A3:L3"/>
    <mergeCell ref="A4:B4"/>
    <mergeCell ref="A7:B7"/>
    <mergeCell ref="K7:L7"/>
    <mergeCell ref="A8:L8"/>
    <mergeCell ref="A9:B9"/>
    <mergeCell ref="A14:B14"/>
    <mergeCell ref="K14:L14"/>
    <mergeCell ref="A15:L15"/>
  </mergeCells>
  <printOptions horizontalCentered="1"/>
  <pageMargins left="0.35" right="0.36" top="0.32" bottom="0.28999999999999998" header="0.17" footer="0.18"/>
  <pageSetup paperSize="9" scale="5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35"/>
  <sheetViews>
    <sheetView rightToLeft="1" view="pageBreakPreview" topLeftCell="A16" zoomScale="70" zoomScaleSheetLayoutView="70" workbookViewId="0">
      <selection activeCell="A22" sqref="A22:L22"/>
    </sheetView>
  </sheetViews>
  <sheetFormatPr defaultColWidth="9.125" defaultRowHeight="15"/>
  <cols>
    <col min="1" max="1" width="7" style="120" customWidth="1"/>
    <col min="2" max="2" width="48.25" style="120" customWidth="1"/>
    <col min="3" max="3" width="10" style="120" customWidth="1"/>
    <col min="4" max="4" width="17" style="120" bestFit="1" customWidth="1"/>
    <col min="5" max="5" width="13.25" style="120" customWidth="1"/>
    <col min="6" max="6" width="14.625" style="120" customWidth="1"/>
    <col min="7" max="7" width="14.75" style="120" customWidth="1"/>
    <col min="8" max="8" width="18.625" style="120" customWidth="1"/>
    <col min="9" max="9" width="13.125" style="218" customWidth="1"/>
    <col min="10" max="10" width="13.125" style="212" customWidth="1"/>
    <col min="11" max="11" width="19" style="212" customWidth="1"/>
    <col min="12" max="12" width="48.375" style="120" customWidth="1"/>
    <col min="13" max="13" width="10.75" style="120" bestFit="1" customWidth="1"/>
    <col min="14" max="14" width="17.625" style="120" customWidth="1"/>
    <col min="15" max="15" width="17" style="120" customWidth="1"/>
    <col min="16" max="16" width="24.125" style="120" customWidth="1"/>
    <col min="17" max="17" width="9.125" style="120"/>
    <col min="18" max="18" width="11.75" style="120" customWidth="1"/>
    <col min="19" max="19" width="9.125" style="120"/>
    <col min="20" max="20" width="13.375" style="120" customWidth="1"/>
    <col min="21" max="16384" width="9.125" style="120"/>
  </cols>
  <sheetData>
    <row r="1" spans="1:18" ht="60.75" customHeight="1">
      <c r="A1" s="750" t="s">
        <v>268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</row>
    <row r="2" spans="1:18" ht="27" customHeight="1">
      <c r="A2" s="751" t="s">
        <v>215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N2" s="34"/>
    </row>
    <row r="3" spans="1:18" s="141" customFormat="1" ht="27" customHeight="1">
      <c r="A3" s="745" t="s">
        <v>148</v>
      </c>
      <c r="B3" s="745"/>
      <c r="C3" s="745"/>
      <c r="D3" s="745"/>
      <c r="E3" s="745"/>
      <c r="F3" s="745"/>
      <c r="G3" s="745"/>
      <c r="H3" s="745"/>
      <c r="I3" s="745"/>
      <c r="J3" s="745"/>
      <c r="K3" s="745"/>
      <c r="L3" s="745"/>
    </row>
    <row r="4" spans="1:18" s="373" customFormat="1" ht="38.25" customHeight="1">
      <c r="A4" s="746" t="s">
        <v>2</v>
      </c>
      <c r="B4" s="746"/>
      <c r="C4" s="366" t="s">
        <v>3</v>
      </c>
      <c r="D4" s="366" t="s">
        <v>4</v>
      </c>
      <c r="E4" s="366" t="s">
        <v>5</v>
      </c>
      <c r="F4" s="366" t="s">
        <v>6</v>
      </c>
      <c r="G4" s="366" t="s">
        <v>59</v>
      </c>
      <c r="H4" s="366" t="s">
        <v>60</v>
      </c>
      <c r="I4" s="215" t="s">
        <v>9</v>
      </c>
      <c r="J4" s="366" t="s">
        <v>79</v>
      </c>
      <c r="K4" s="366" t="s">
        <v>247</v>
      </c>
      <c r="L4" s="136" t="s">
        <v>12</v>
      </c>
    </row>
    <row r="5" spans="1:18" s="209" customFormat="1" ht="21.75" customHeight="1">
      <c r="A5" s="226">
        <v>1</v>
      </c>
      <c r="B5" s="376" t="s">
        <v>267</v>
      </c>
      <c r="C5" s="226" t="s">
        <v>26</v>
      </c>
      <c r="D5" s="114">
        <v>5000</v>
      </c>
      <c r="E5" s="72">
        <v>2000</v>
      </c>
      <c r="F5" s="236">
        <f>400/E5</f>
        <v>0.2</v>
      </c>
      <c r="G5" s="114"/>
      <c r="H5" s="114">
        <f>G5*F5*E5</f>
        <v>0</v>
      </c>
      <c r="I5" s="226">
        <v>22</v>
      </c>
      <c r="J5" s="117">
        <f t="shared" ref="J5:J8" si="0">G5/I5</f>
        <v>0</v>
      </c>
      <c r="K5" s="114">
        <f t="shared" ref="K5:K8" si="1">J5*E5</f>
        <v>0</v>
      </c>
      <c r="L5" s="228"/>
    </row>
    <row r="6" spans="1:18" s="209" customFormat="1" ht="21.75" customHeight="1">
      <c r="A6" s="109">
        <v>2</v>
      </c>
      <c r="B6" s="376" t="s">
        <v>258</v>
      </c>
      <c r="C6" s="72" t="s">
        <v>28</v>
      </c>
      <c r="D6" s="53">
        <f>22100/100*80+35117+5000</f>
        <v>57797</v>
      </c>
      <c r="E6" s="72">
        <v>250</v>
      </c>
      <c r="F6" s="205">
        <v>0.2</v>
      </c>
      <c r="G6" s="114"/>
      <c r="H6" s="114">
        <f>G6*F6*E6</f>
        <v>0</v>
      </c>
      <c r="I6" s="226">
        <v>22</v>
      </c>
      <c r="J6" s="117">
        <f t="shared" si="0"/>
        <v>0</v>
      </c>
      <c r="K6" s="114">
        <f t="shared" si="1"/>
        <v>0</v>
      </c>
      <c r="L6" s="237"/>
    </row>
    <row r="7" spans="1:18" s="210" customFormat="1" ht="21.75" customHeight="1">
      <c r="A7" s="7">
        <v>3</v>
      </c>
      <c r="B7" s="376" t="s">
        <v>315</v>
      </c>
      <c r="C7" s="72" t="s">
        <v>28</v>
      </c>
      <c r="D7" s="53">
        <v>5000</v>
      </c>
      <c r="E7" s="72">
        <v>50</v>
      </c>
      <c r="F7" s="231">
        <f t="shared" ref="F7:F8" si="2">400/E7</f>
        <v>8</v>
      </c>
      <c r="G7" s="114">
        <f t="shared" ref="G7:G8" si="3">D7/E7</f>
        <v>100</v>
      </c>
      <c r="H7" s="114">
        <f t="shared" ref="H7:H8" si="4">G7*F7*E7</f>
        <v>40000</v>
      </c>
      <c r="I7" s="226">
        <v>15</v>
      </c>
      <c r="J7" s="117">
        <f t="shared" si="0"/>
        <v>6.666666666666667</v>
      </c>
      <c r="K7" s="114">
        <f t="shared" si="1"/>
        <v>333.33333333333337</v>
      </c>
      <c r="L7" s="232"/>
    </row>
    <row r="8" spans="1:18" s="210" customFormat="1" ht="21.75" customHeight="1">
      <c r="A8" s="7">
        <v>4</v>
      </c>
      <c r="B8" s="376" t="s">
        <v>316</v>
      </c>
      <c r="C8" s="72" t="s">
        <v>28</v>
      </c>
      <c r="D8" s="53">
        <f>D7</f>
        <v>5000</v>
      </c>
      <c r="E8" s="72">
        <v>250</v>
      </c>
      <c r="F8" s="231">
        <f t="shared" si="2"/>
        <v>1.6</v>
      </c>
      <c r="G8" s="114">
        <f t="shared" si="3"/>
        <v>20</v>
      </c>
      <c r="H8" s="114">
        <f t="shared" si="4"/>
        <v>8000</v>
      </c>
      <c r="I8" s="226">
        <v>15</v>
      </c>
      <c r="J8" s="117">
        <f t="shared" si="0"/>
        <v>1.3333333333333333</v>
      </c>
      <c r="K8" s="114">
        <f t="shared" si="1"/>
        <v>333.33333333333331</v>
      </c>
      <c r="L8" s="232"/>
    </row>
    <row r="9" spans="1:18" s="44" customFormat="1" ht="30" customHeight="1">
      <c r="A9" s="747" t="s">
        <v>248</v>
      </c>
      <c r="B9" s="747"/>
      <c r="C9" s="11"/>
      <c r="D9" s="12"/>
      <c r="E9" s="12"/>
      <c r="F9" s="12"/>
      <c r="G9" s="368">
        <f>SUM(G5:G8)</f>
        <v>120</v>
      </c>
      <c r="H9" s="368">
        <f>SUM(H5:H8)</f>
        <v>48000</v>
      </c>
      <c r="I9" s="214"/>
      <c r="J9" s="368">
        <f>SUM(J5:J8)</f>
        <v>8</v>
      </c>
      <c r="K9" s="762"/>
      <c r="L9" s="762"/>
    </row>
    <row r="10" spans="1:18" s="44" customFormat="1" ht="30" customHeight="1">
      <c r="A10" s="745" t="s">
        <v>149</v>
      </c>
      <c r="B10" s="745"/>
      <c r="C10" s="745"/>
      <c r="D10" s="745"/>
      <c r="E10" s="745"/>
      <c r="F10" s="745"/>
      <c r="G10" s="745"/>
      <c r="H10" s="745"/>
      <c r="I10" s="745"/>
      <c r="J10" s="745"/>
      <c r="K10" s="745"/>
      <c r="L10" s="745"/>
    </row>
    <row r="11" spans="1:18" s="209" customFormat="1" ht="36.75" customHeight="1">
      <c r="A11" s="746" t="s">
        <v>2</v>
      </c>
      <c r="B11" s="746"/>
      <c r="C11" s="366" t="s">
        <v>3</v>
      </c>
      <c r="D11" s="366" t="s">
        <v>4</v>
      </c>
      <c r="E11" s="366" t="s">
        <v>5</v>
      </c>
      <c r="F11" s="366" t="s">
        <v>6</v>
      </c>
      <c r="G11" s="366" t="s">
        <v>59</v>
      </c>
      <c r="H11" s="366" t="s">
        <v>60</v>
      </c>
      <c r="I11" s="215" t="s">
        <v>9</v>
      </c>
      <c r="J11" s="366" t="s">
        <v>79</v>
      </c>
      <c r="K11" s="366" t="s">
        <v>247</v>
      </c>
      <c r="L11" s="136" t="s">
        <v>12</v>
      </c>
    </row>
    <row r="12" spans="1:18" s="210" customFormat="1" ht="21.75" customHeight="1">
      <c r="A12" s="109">
        <v>1</v>
      </c>
      <c r="B12" s="376" t="s">
        <v>267</v>
      </c>
      <c r="C12" s="72" t="s">
        <v>26</v>
      </c>
      <c r="D12" s="53">
        <f>D5*9</f>
        <v>45000</v>
      </c>
      <c r="E12" s="72">
        <v>2000</v>
      </c>
      <c r="F12" s="234">
        <f>400/E12</f>
        <v>0.2</v>
      </c>
      <c r="G12" s="114">
        <f>D12/E12</f>
        <v>22.5</v>
      </c>
      <c r="H12" s="114">
        <f>G12*F12*E12</f>
        <v>9000</v>
      </c>
      <c r="I12" s="226">
        <v>66</v>
      </c>
      <c r="J12" s="117">
        <f t="shared" ref="J12:J15" si="5">G12/I12</f>
        <v>0.34090909090909088</v>
      </c>
      <c r="K12" s="114">
        <f>J12*E12</f>
        <v>681.81818181818176</v>
      </c>
      <c r="L12" s="228"/>
      <c r="M12" s="229"/>
      <c r="R12" s="230"/>
    </row>
    <row r="13" spans="1:18" s="210" customFormat="1" ht="36" customHeight="1">
      <c r="A13" s="7">
        <v>2</v>
      </c>
      <c r="B13" s="376" t="s">
        <v>259</v>
      </c>
      <c r="C13" s="225" t="s">
        <v>28</v>
      </c>
      <c r="D13" s="114">
        <f>D6*6</f>
        <v>346782</v>
      </c>
      <c r="E13" s="226">
        <v>250</v>
      </c>
      <c r="F13" s="235">
        <f>400/E13</f>
        <v>1.6</v>
      </c>
      <c r="G13" s="114">
        <f t="shared" ref="G13:G15" si="6">D13/E13</f>
        <v>1387.1279999999999</v>
      </c>
      <c r="H13" s="114">
        <f>(G13*F13*E13)</f>
        <v>554851.19999999995</v>
      </c>
      <c r="I13" s="226">
        <v>66</v>
      </c>
      <c r="J13" s="117">
        <f t="shared" si="5"/>
        <v>21.017090909090907</v>
      </c>
      <c r="K13" s="114">
        <f t="shared" ref="K13:K15" si="7">J13*E13</f>
        <v>5254.272727272727</v>
      </c>
      <c r="L13" s="228"/>
      <c r="M13" s="229"/>
      <c r="R13" s="230"/>
    </row>
    <row r="14" spans="1:18" s="210" customFormat="1" ht="21.75" customHeight="1">
      <c r="A14" s="7">
        <v>3</v>
      </c>
      <c r="B14" s="376" t="s">
        <v>257</v>
      </c>
      <c r="C14" s="225" t="s">
        <v>28</v>
      </c>
      <c r="D14" s="114">
        <f>D6/100*20</f>
        <v>11559.400000000001</v>
      </c>
      <c r="E14" s="226">
        <v>100</v>
      </c>
      <c r="F14" s="235">
        <f>400/E14</f>
        <v>4</v>
      </c>
      <c r="G14" s="114">
        <f t="shared" si="6"/>
        <v>115.59400000000001</v>
      </c>
      <c r="H14" s="114">
        <f>(G14*F14*E14)</f>
        <v>46237.600000000006</v>
      </c>
      <c r="I14" s="226">
        <v>66</v>
      </c>
      <c r="J14" s="117">
        <f t="shared" si="5"/>
        <v>1.7514242424242425</v>
      </c>
      <c r="K14" s="114">
        <f t="shared" si="7"/>
        <v>175.14242424242425</v>
      </c>
      <c r="L14" s="228"/>
      <c r="M14" s="229"/>
      <c r="R14" s="230"/>
    </row>
    <row r="15" spans="1:18" s="210" customFormat="1" ht="21.75" customHeight="1">
      <c r="A15" s="7">
        <v>4</v>
      </c>
      <c r="B15" s="376" t="s">
        <v>260</v>
      </c>
      <c r="C15" s="72" t="s">
        <v>28</v>
      </c>
      <c r="D15" s="114">
        <f>D6</f>
        <v>57797</v>
      </c>
      <c r="E15" s="226">
        <v>400</v>
      </c>
      <c r="F15" s="235">
        <f>400/E15</f>
        <v>1</v>
      </c>
      <c r="G15" s="114">
        <f t="shared" si="6"/>
        <v>144.49250000000001</v>
      </c>
      <c r="H15" s="114">
        <f>(G15*F15*E15)</f>
        <v>57797</v>
      </c>
      <c r="I15" s="226">
        <v>66</v>
      </c>
      <c r="J15" s="117">
        <f t="shared" si="5"/>
        <v>2.1892803030303032</v>
      </c>
      <c r="K15" s="114">
        <f t="shared" si="7"/>
        <v>875.71212121212125</v>
      </c>
      <c r="L15" s="228"/>
      <c r="M15" s="229"/>
      <c r="R15" s="230"/>
    </row>
    <row r="16" spans="1:18" ht="27" customHeight="1">
      <c r="A16" s="747" t="s">
        <v>251</v>
      </c>
      <c r="B16" s="747"/>
      <c r="C16" s="11"/>
      <c r="D16" s="12"/>
      <c r="E16" s="12"/>
      <c r="F16" s="12"/>
      <c r="G16" s="368">
        <f>SUM(G12:G15)</f>
        <v>1669.7145</v>
      </c>
      <c r="H16" s="368">
        <f>SUM(H12:H15)</f>
        <v>667885.79999999993</v>
      </c>
      <c r="I16" s="214"/>
      <c r="J16" s="377">
        <f>SUM(J12:J15)</f>
        <v>25.298704545454541</v>
      </c>
      <c r="K16" s="761"/>
      <c r="L16" s="761"/>
      <c r="M16" s="112"/>
      <c r="R16" s="34"/>
    </row>
    <row r="17" spans="1:18" ht="27" customHeight="1">
      <c r="A17" s="745" t="s">
        <v>61</v>
      </c>
      <c r="B17" s="745"/>
      <c r="C17" s="745"/>
      <c r="D17" s="745"/>
      <c r="E17" s="745"/>
      <c r="F17" s="745"/>
      <c r="G17" s="745"/>
      <c r="H17" s="745"/>
      <c r="I17" s="745"/>
      <c r="J17" s="745"/>
      <c r="K17" s="745"/>
      <c r="L17" s="745"/>
    </row>
    <row r="18" spans="1:18" s="210" customFormat="1" ht="39" customHeight="1">
      <c r="A18" s="29" t="s">
        <v>1</v>
      </c>
      <c r="B18" s="366" t="s">
        <v>78</v>
      </c>
      <c r="C18" s="366" t="s">
        <v>3</v>
      </c>
      <c r="D18" s="366" t="s">
        <v>4</v>
      </c>
      <c r="E18" s="366" t="s">
        <v>5</v>
      </c>
      <c r="F18" s="366" t="s">
        <v>6</v>
      </c>
      <c r="G18" s="366" t="s">
        <v>59</v>
      </c>
      <c r="H18" s="366" t="s">
        <v>60</v>
      </c>
      <c r="I18" s="215" t="s">
        <v>33</v>
      </c>
      <c r="J18" s="366" t="s">
        <v>34</v>
      </c>
      <c r="K18" s="194" t="s">
        <v>247</v>
      </c>
      <c r="L18" s="194" t="s">
        <v>12</v>
      </c>
    </row>
    <row r="19" spans="1:18" s="210" customFormat="1" ht="23.25" customHeight="1">
      <c r="A19" s="7">
        <v>1</v>
      </c>
      <c r="B19" s="376" t="s">
        <v>256</v>
      </c>
      <c r="C19" s="225" t="s">
        <v>26</v>
      </c>
      <c r="D19" s="114">
        <f>D5*12</f>
        <v>60000</v>
      </c>
      <c r="E19" s="226">
        <v>2000</v>
      </c>
      <c r="F19" s="227">
        <f>400/E19</f>
        <v>0.2</v>
      </c>
      <c r="G19" s="114">
        <f>D19/E19</f>
        <v>30</v>
      </c>
      <c r="H19" s="114">
        <f>G19*F19*E19</f>
        <v>12000</v>
      </c>
      <c r="I19" s="226">
        <v>66</v>
      </c>
      <c r="J19" s="117">
        <f>G19/I19</f>
        <v>0.45454545454545453</v>
      </c>
      <c r="K19" s="117">
        <f t="shared" ref="K19" si="8">J19*E19</f>
        <v>909.09090909090901</v>
      </c>
      <c r="L19" s="228"/>
      <c r="M19" s="229"/>
      <c r="R19" s="230"/>
    </row>
    <row r="20" spans="1:18" s="210" customFormat="1" ht="23.25" customHeight="1">
      <c r="A20" s="59">
        <v>2</v>
      </c>
      <c r="B20" s="376" t="s">
        <v>258</v>
      </c>
      <c r="C20" s="22" t="s">
        <v>249</v>
      </c>
      <c r="D20" s="53">
        <f>D6*9</f>
        <v>520173</v>
      </c>
      <c r="E20" s="72">
        <v>250</v>
      </c>
      <c r="F20" s="195">
        <f>400/E20</f>
        <v>1.6</v>
      </c>
      <c r="G20" s="53">
        <f>D20/E20</f>
        <v>2080.692</v>
      </c>
      <c r="H20" s="53">
        <f>G20*F20*E20</f>
        <v>832276.8</v>
      </c>
      <c r="I20" s="216">
        <v>66</v>
      </c>
      <c r="J20" s="42">
        <f>G20/I20</f>
        <v>31.525636363636362</v>
      </c>
      <c r="K20" s="117">
        <f>J20*E20</f>
        <v>7881.409090909091</v>
      </c>
      <c r="L20" s="228"/>
      <c r="M20" s="229"/>
      <c r="R20" s="230"/>
    </row>
    <row r="21" spans="1:18" ht="30" customHeight="1">
      <c r="A21" s="758" t="s">
        <v>83</v>
      </c>
      <c r="B21" s="758"/>
      <c r="C21" s="11"/>
      <c r="D21" s="12"/>
      <c r="E21" s="12"/>
      <c r="F21" s="12"/>
      <c r="G21" s="368">
        <f>SUM(G19:G20)</f>
        <v>2110.692</v>
      </c>
      <c r="H21" s="368">
        <f>SUM(H19:H20)</f>
        <v>844276.8</v>
      </c>
      <c r="I21" s="214"/>
      <c r="J21" s="254">
        <f>SUM(J19:J20)</f>
        <v>31.980181818181816</v>
      </c>
      <c r="K21" s="755"/>
      <c r="L21" s="755"/>
      <c r="M21" s="112"/>
      <c r="R21" s="34"/>
    </row>
    <row r="22" spans="1:18" ht="30" customHeight="1">
      <c r="A22" s="745" t="s">
        <v>263</v>
      </c>
      <c r="B22" s="745"/>
      <c r="C22" s="745"/>
      <c r="D22" s="745"/>
      <c r="E22" s="745"/>
      <c r="F22" s="745"/>
      <c r="G22" s="745"/>
      <c r="H22" s="745"/>
      <c r="I22" s="745"/>
      <c r="J22" s="745"/>
      <c r="K22" s="745"/>
      <c r="L22" s="745"/>
      <c r="M22" s="112"/>
      <c r="R22" s="34"/>
    </row>
    <row r="23" spans="1:18" s="210" customFormat="1" ht="38.25" customHeight="1">
      <c r="A23" s="136" t="s">
        <v>1</v>
      </c>
      <c r="B23" s="197" t="s">
        <v>30</v>
      </c>
      <c r="C23" s="197" t="s">
        <v>3</v>
      </c>
      <c r="D23" s="366" t="s">
        <v>31</v>
      </c>
      <c r="E23" s="366" t="s">
        <v>5</v>
      </c>
      <c r="F23" s="366" t="s">
        <v>6</v>
      </c>
      <c r="G23" s="366" t="s">
        <v>32</v>
      </c>
      <c r="H23" s="366" t="s">
        <v>8</v>
      </c>
      <c r="I23" s="215" t="s">
        <v>254</v>
      </c>
      <c r="J23" s="366" t="s">
        <v>79</v>
      </c>
      <c r="K23" s="366" t="s">
        <v>247</v>
      </c>
      <c r="L23" s="198" t="s">
        <v>12</v>
      </c>
    </row>
    <row r="24" spans="1:18" s="210" customFormat="1" ht="24" customHeight="1">
      <c r="A24" s="7">
        <v>1</v>
      </c>
      <c r="B24" s="376" t="s">
        <v>256</v>
      </c>
      <c r="C24" s="109" t="s">
        <v>26</v>
      </c>
      <c r="D24" s="53">
        <f>D5*12</f>
        <v>60000</v>
      </c>
      <c r="E24" s="72">
        <v>2000</v>
      </c>
      <c r="F24" s="231">
        <f>400/E24</f>
        <v>0.2</v>
      </c>
      <c r="G24" s="114">
        <f>D24/E24</f>
        <v>30</v>
      </c>
      <c r="H24" s="114">
        <f>G24*F24*E24</f>
        <v>12000</v>
      </c>
      <c r="I24" s="226">
        <v>54</v>
      </c>
      <c r="J24" s="117">
        <f t="shared" ref="J24:J27" si="9">G24/I24</f>
        <v>0.55555555555555558</v>
      </c>
      <c r="K24" s="114">
        <f t="shared" ref="K24:K27" si="10">J24*E24</f>
        <v>1111.1111111111111</v>
      </c>
      <c r="L24" s="228"/>
    </row>
    <row r="25" spans="1:18" s="210" customFormat="1" ht="29.25" customHeight="1">
      <c r="A25" s="226">
        <v>2</v>
      </c>
      <c r="B25" s="376" t="s">
        <v>258</v>
      </c>
      <c r="C25" s="72" t="s">
        <v>28</v>
      </c>
      <c r="D25" s="53">
        <f>D6*6</f>
        <v>346782</v>
      </c>
      <c r="E25" s="72">
        <v>250</v>
      </c>
      <c r="F25" s="231">
        <f t="shared" ref="F25:F27" si="11">400/E25</f>
        <v>1.6</v>
      </c>
      <c r="G25" s="114">
        <f t="shared" ref="G25:G27" si="12">D25/E25</f>
        <v>1387.1279999999999</v>
      </c>
      <c r="H25" s="114">
        <f>G25*F25*E25</f>
        <v>554851.19999999995</v>
      </c>
      <c r="I25" s="226">
        <v>54</v>
      </c>
      <c r="J25" s="117">
        <f t="shared" si="9"/>
        <v>25.687555555555555</v>
      </c>
      <c r="K25" s="114">
        <f t="shared" si="10"/>
        <v>6421.8888888888887</v>
      </c>
      <c r="L25" s="232"/>
    </row>
    <row r="26" spans="1:18" s="210" customFormat="1" ht="29.25" customHeight="1">
      <c r="A26" s="7">
        <v>3</v>
      </c>
      <c r="B26" s="376" t="s">
        <v>265</v>
      </c>
      <c r="C26" s="72" t="s">
        <v>26</v>
      </c>
      <c r="D26" s="53">
        <f>D27*3</f>
        <v>17339.100000000002</v>
      </c>
      <c r="E26" s="72">
        <v>250</v>
      </c>
      <c r="F26" s="231">
        <f t="shared" si="11"/>
        <v>1.6</v>
      </c>
      <c r="G26" s="114">
        <f t="shared" si="12"/>
        <v>69.356400000000008</v>
      </c>
      <c r="H26" s="114">
        <f t="shared" ref="H26:H27" si="13">G26*F26*E26</f>
        <v>27742.560000000005</v>
      </c>
      <c r="I26" s="226">
        <v>54</v>
      </c>
      <c r="J26" s="117">
        <f t="shared" si="9"/>
        <v>1.2843777777777778</v>
      </c>
      <c r="K26" s="114">
        <f t="shared" si="10"/>
        <v>321.09444444444443</v>
      </c>
      <c r="L26" s="232"/>
    </row>
    <row r="27" spans="1:18" s="210" customFormat="1" ht="33.75" customHeight="1">
      <c r="A27" s="226">
        <v>4</v>
      </c>
      <c r="B27" s="255" t="s">
        <v>261</v>
      </c>
      <c r="C27" s="72" t="s">
        <v>28</v>
      </c>
      <c r="D27" s="114">
        <f>D6/100*10</f>
        <v>5779.7000000000007</v>
      </c>
      <c r="E27" s="238">
        <v>50</v>
      </c>
      <c r="F27" s="231">
        <f t="shared" si="11"/>
        <v>8</v>
      </c>
      <c r="G27" s="114">
        <f t="shared" si="12"/>
        <v>115.59400000000001</v>
      </c>
      <c r="H27" s="114">
        <f t="shared" si="13"/>
        <v>46237.600000000006</v>
      </c>
      <c r="I27" s="226">
        <v>33</v>
      </c>
      <c r="J27" s="117">
        <f t="shared" si="9"/>
        <v>3.5028484848484851</v>
      </c>
      <c r="K27" s="114">
        <f t="shared" si="10"/>
        <v>175.14242424242425</v>
      </c>
      <c r="L27" s="228"/>
    </row>
    <row r="28" spans="1:18" s="210" customFormat="1" ht="24.75" customHeight="1">
      <c r="A28" s="7">
        <v>5</v>
      </c>
      <c r="B28" s="376" t="s">
        <v>315</v>
      </c>
      <c r="C28" s="72" t="s">
        <v>28</v>
      </c>
      <c r="D28" s="53">
        <v>5000</v>
      </c>
      <c r="E28" s="72">
        <v>50</v>
      </c>
      <c r="F28" s="231">
        <f>400/E28</f>
        <v>8</v>
      </c>
      <c r="G28" s="114">
        <f>D28/E28</f>
        <v>100</v>
      </c>
      <c r="H28" s="114">
        <f>G28*F28*E28</f>
        <v>40000</v>
      </c>
      <c r="I28" s="226">
        <v>33</v>
      </c>
      <c r="J28" s="117">
        <f>G28/I28</f>
        <v>3.0303030303030303</v>
      </c>
      <c r="K28" s="114">
        <f>J28*E28</f>
        <v>151.5151515151515</v>
      </c>
      <c r="L28" s="232"/>
    </row>
    <row r="29" spans="1:18" s="210" customFormat="1" ht="18.75" customHeight="1">
      <c r="A29" s="226">
        <v>6</v>
      </c>
      <c r="B29" s="255" t="s">
        <v>317</v>
      </c>
      <c r="C29" s="72" t="s">
        <v>28</v>
      </c>
      <c r="D29" s="114">
        <f>D27+D28</f>
        <v>10779.7</v>
      </c>
      <c r="E29" s="238">
        <v>250</v>
      </c>
      <c r="F29" s="231">
        <f t="shared" ref="F29" si="14">400/E29</f>
        <v>1.6</v>
      </c>
      <c r="G29" s="114">
        <f t="shared" ref="G29" si="15">D29/E29</f>
        <v>43.1188</v>
      </c>
      <c r="H29" s="114">
        <f t="shared" ref="H29" si="16">G29*F29*E29</f>
        <v>17247.52</v>
      </c>
      <c r="I29" s="226">
        <v>33</v>
      </c>
      <c r="J29" s="117">
        <f t="shared" ref="J29" si="17">G29/I29</f>
        <v>1.306630303030303</v>
      </c>
      <c r="K29" s="114">
        <f t="shared" ref="K29" si="18">J29*E29</f>
        <v>326.65757575757578</v>
      </c>
      <c r="L29" s="228"/>
    </row>
    <row r="30" spans="1:18" ht="30.75" customHeight="1">
      <c r="A30" s="747" t="s">
        <v>80</v>
      </c>
      <c r="B30" s="747"/>
      <c r="C30" s="11"/>
      <c r="D30" s="12"/>
      <c r="E30" s="12">
        <v>0</v>
      </c>
      <c r="F30" s="12">
        <v>0</v>
      </c>
      <c r="G30" s="368">
        <f>SUM(G24:G29)</f>
        <v>1745.1971999999998</v>
      </c>
      <c r="H30" s="368">
        <f>SUM(H24:H29)</f>
        <v>698078.88</v>
      </c>
      <c r="I30" s="214"/>
      <c r="J30" s="254">
        <f>SUM(J24:J29)</f>
        <v>35.367270707070709</v>
      </c>
      <c r="K30" s="755"/>
      <c r="L30" s="755"/>
    </row>
    <row r="31" spans="1:18" ht="29.25" customHeight="1">
      <c r="A31" s="756" t="s">
        <v>255</v>
      </c>
      <c r="B31" s="756"/>
      <c r="C31" s="199"/>
      <c r="D31" s="199">
        <v>0</v>
      </c>
      <c r="E31" s="199">
        <v>0</v>
      </c>
      <c r="F31" s="200">
        <v>0</v>
      </c>
      <c r="G31" s="200">
        <f>SUM(G9+G16+G21+G30)</f>
        <v>5645.6036999999997</v>
      </c>
      <c r="H31" s="200">
        <f>SUM(H9+H16+H21+H30)</f>
        <v>2258241.48</v>
      </c>
      <c r="I31" s="217"/>
      <c r="J31" s="201"/>
      <c r="K31" s="202"/>
      <c r="L31" s="202"/>
    </row>
    <row r="32" spans="1:18" s="219" customFormat="1" ht="27.75" customHeight="1">
      <c r="A32" s="757" t="s">
        <v>266</v>
      </c>
      <c r="B32" s="757"/>
      <c r="C32" s="220"/>
      <c r="D32" s="220"/>
      <c r="E32" s="220"/>
      <c r="F32" s="220"/>
      <c r="G32" s="220"/>
      <c r="H32" s="221">
        <f>H31/68.34</f>
        <v>33044.212467076381</v>
      </c>
      <c r="I32" s="222"/>
      <c r="J32" s="223"/>
      <c r="K32" s="223"/>
      <c r="L32" s="220"/>
    </row>
    <row r="33" spans="1:12" s="244" customFormat="1" ht="31.5" customHeight="1">
      <c r="A33" s="721" t="s">
        <v>321</v>
      </c>
      <c r="B33" s="721"/>
      <c r="C33" s="721"/>
      <c r="D33" s="68"/>
      <c r="E33" s="68"/>
      <c r="F33" s="176"/>
      <c r="G33" s="68" t="s">
        <v>44</v>
      </c>
      <c r="H33" s="68" t="s">
        <v>217</v>
      </c>
      <c r="J33" s="248"/>
      <c r="L33" s="68"/>
    </row>
    <row r="34" spans="1:12" s="244" customFormat="1" ht="41.25" customHeight="1">
      <c r="A34" s="267" t="s">
        <v>318</v>
      </c>
      <c r="B34" s="268"/>
      <c r="C34" s="269" t="s">
        <v>48</v>
      </c>
      <c r="D34" s="270"/>
      <c r="E34" s="270"/>
      <c r="F34" s="269" t="s">
        <v>200</v>
      </c>
      <c r="G34" s="39"/>
      <c r="H34" s="324"/>
      <c r="I34" s="270" t="s">
        <v>320</v>
      </c>
      <c r="J34" s="324" t="s">
        <v>49</v>
      </c>
      <c r="K34" s="324"/>
      <c r="L34" s="39"/>
    </row>
    <row r="35" spans="1:12" s="244" customFormat="1" ht="26.25" customHeight="1">
      <c r="A35" s="271"/>
      <c r="B35" s="272"/>
      <c r="C35" s="271" t="s">
        <v>286</v>
      </c>
      <c r="D35" s="271"/>
      <c r="E35" s="271"/>
      <c r="F35" s="244" t="s">
        <v>52</v>
      </c>
      <c r="G35" s="271"/>
      <c r="H35" s="325"/>
      <c r="I35" s="271"/>
      <c r="J35" s="325" t="s">
        <v>54</v>
      </c>
      <c r="K35" s="326"/>
      <c r="L35" s="323" t="s">
        <v>81</v>
      </c>
    </row>
  </sheetData>
  <mergeCells count="19">
    <mergeCell ref="K30:L30"/>
    <mergeCell ref="A31:B31"/>
    <mergeCell ref="A32:B32"/>
    <mergeCell ref="A33:C33"/>
    <mergeCell ref="A21:B21"/>
    <mergeCell ref="K21:L21"/>
    <mergeCell ref="A22:L22"/>
    <mergeCell ref="A30:B30"/>
    <mergeCell ref="A1:L1"/>
    <mergeCell ref="A2:L2"/>
    <mergeCell ref="A3:L3"/>
    <mergeCell ref="A4:B4"/>
    <mergeCell ref="A9:B9"/>
    <mergeCell ref="K9:L9"/>
    <mergeCell ref="A10:L10"/>
    <mergeCell ref="A11:B11"/>
    <mergeCell ref="A16:B16"/>
    <mergeCell ref="K16:L16"/>
    <mergeCell ref="A17:L17"/>
  </mergeCells>
  <printOptions horizontalCentered="1"/>
  <pageMargins left="0.35" right="0.36" top="0.32" bottom="0.28999999999999998" header="0.17" footer="0.18"/>
  <pageSetup paperSize="9" scale="5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35"/>
  <sheetViews>
    <sheetView rightToLeft="1" view="pageBreakPreview" topLeftCell="A22" zoomScale="70" zoomScaleSheetLayoutView="70" workbookViewId="0">
      <selection activeCell="D32" sqref="D32"/>
    </sheetView>
  </sheetViews>
  <sheetFormatPr defaultColWidth="9.125" defaultRowHeight="15"/>
  <cols>
    <col min="1" max="1" width="7" style="120" customWidth="1"/>
    <col min="2" max="2" width="48.25" style="120" customWidth="1"/>
    <col min="3" max="3" width="10" style="120" customWidth="1"/>
    <col min="4" max="4" width="17" style="120" bestFit="1" customWidth="1"/>
    <col min="5" max="5" width="13.25" style="120" customWidth="1"/>
    <col min="6" max="6" width="14.625" style="120" customWidth="1"/>
    <col min="7" max="7" width="14.75" style="120" customWidth="1"/>
    <col min="8" max="8" width="18.625" style="120" customWidth="1"/>
    <col min="9" max="9" width="13.125" style="218" customWidth="1"/>
    <col min="10" max="10" width="13.125" style="212" customWidth="1"/>
    <col min="11" max="11" width="19" style="212" customWidth="1"/>
    <col min="12" max="12" width="48.375" style="120" customWidth="1"/>
    <col min="13" max="13" width="10.75" style="120" bestFit="1" customWidth="1"/>
    <col min="14" max="14" width="17.625" style="120" customWidth="1"/>
    <col min="15" max="15" width="17" style="120" customWidth="1"/>
    <col min="16" max="16" width="24.125" style="120" customWidth="1"/>
    <col min="17" max="17" width="9.125" style="120"/>
    <col min="18" max="18" width="11.75" style="120" customWidth="1"/>
    <col min="19" max="19" width="9.125" style="120"/>
    <col min="20" max="20" width="13.375" style="120" customWidth="1"/>
    <col min="21" max="16384" width="9.125" style="120"/>
  </cols>
  <sheetData>
    <row r="1" spans="1:18" ht="60.75" customHeight="1">
      <c r="A1" s="750" t="s">
        <v>264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</row>
    <row r="2" spans="1:18" ht="25.5" customHeight="1">
      <c r="A2" s="751" t="s">
        <v>215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N2" s="34"/>
    </row>
    <row r="3" spans="1:18" s="141" customFormat="1" ht="25.5" customHeight="1">
      <c r="A3" s="745" t="s">
        <v>148</v>
      </c>
      <c r="B3" s="745"/>
      <c r="C3" s="745"/>
      <c r="D3" s="745"/>
      <c r="E3" s="745"/>
      <c r="F3" s="745"/>
      <c r="G3" s="745"/>
      <c r="H3" s="745"/>
      <c r="I3" s="745"/>
      <c r="J3" s="745"/>
      <c r="K3" s="745"/>
      <c r="L3" s="745"/>
    </row>
    <row r="4" spans="1:18" s="373" customFormat="1" ht="35.25" customHeight="1">
      <c r="A4" s="746" t="s">
        <v>2</v>
      </c>
      <c r="B4" s="746"/>
      <c r="C4" s="366" t="s">
        <v>3</v>
      </c>
      <c r="D4" s="366" t="s">
        <v>4</v>
      </c>
      <c r="E4" s="366" t="s">
        <v>5</v>
      </c>
      <c r="F4" s="366" t="s">
        <v>6</v>
      </c>
      <c r="G4" s="366" t="s">
        <v>59</v>
      </c>
      <c r="H4" s="366" t="s">
        <v>60</v>
      </c>
      <c r="I4" s="215" t="s">
        <v>9</v>
      </c>
      <c r="J4" s="366" t="s">
        <v>79</v>
      </c>
      <c r="K4" s="366" t="s">
        <v>247</v>
      </c>
      <c r="L4" s="197" t="s">
        <v>12</v>
      </c>
    </row>
    <row r="5" spans="1:18" s="209" customFormat="1" ht="23.25" customHeight="1">
      <c r="A5" s="226">
        <v>1</v>
      </c>
      <c r="B5" s="224" t="s">
        <v>267</v>
      </c>
      <c r="C5" s="226" t="s">
        <v>26</v>
      </c>
      <c r="D5" s="114">
        <v>10000</v>
      </c>
      <c r="E5" s="72">
        <v>2000</v>
      </c>
      <c r="F5" s="236">
        <f>400/E5</f>
        <v>0.2</v>
      </c>
      <c r="G5" s="114"/>
      <c r="H5" s="114">
        <f>G5*F5*E5</f>
        <v>0</v>
      </c>
      <c r="I5" s="226">
        <v>22</v>
      </c>
      <c r="J5" s="117">
        <f t="shared" ref="J5:J8" si="0">G5/I5</f>
        <v>0</v>
      </c>
      <c r="K5" s="114">
        <f t="shared" ref="K5:K8" si="1">J5*E5</f>
        <v>0</v>
      </c>
      <c r="L5" s="228"/>
    </row>
    <row r="6" spans="1:18" s="209" customFormat="1" ht="23.25" customHeight="1">
      <c r="A6" s="109">
        <v>2</v>
      </c>
      <c r="B6" s="224" t="s">
        <v>258</v>
      </c>
      <c r="C6" s="72" t="s">
        <v>28</v>
      </c>
      <c r="D6" s="53">
        <f>50000/100*80+50000</f>
        <v>90000</v>
      </c>
      <c r="E6" s="72">
        <v>250</v>
      </c>
      <c r="F6" s="205">
        <v>0.2</v>
      </c>
      <c r="G6" s="114"/>
      <c r="H6" s="114">
        <f>G6*F6*E6</f>
        <v>0</v>
      </c>
      <c r="I6" s="226">
        <v>22</v>
      </c>
      <c r="J6" s="117">
        <f t="shared" si="0"/>
        <v>0</v>
      </c>
      <c r="K6" s="114">
        <f t="shared" si="1"/>
        <v>0</v>
      </c>
      <c r="L6" s="237"/>
    </row>
    <row r="7" spans="1:18" s="210" customFormat="1" ht="23.25" customHeight="1">
      <c r="A7" s="7">
        <v>3</v>
      </c>
      <c r="B7" s="224" t="s">
        <v>315</v>
      </c>
      <c r="C7" s="72" t="s">
        <v>28</v>
      </c>
      <c r="D7" s="53">
        <v>10000</v>
      </c>
      <c r="E7" s="72">
        <v>50</v>
      </c>
      <c r="F7" s="231">
        <f t="shared" ref="F7:F8" si="2">400/E7</f>
        <v>8</v>
      </c>
      <c r="G7" s="114">
        <f t="shared" ref="G7:G8" si="3">D7/E7</f>
        <v>200</v>
      </c>
      <c r="H7" s="114">
        <f t="shared" ref="H7:H8" si="4">G7*F7*E7</f>
        <v>80000</v>
      </c>
      <c r="I7" s="226">
        <v>22</v>
      </c>
      <c r="J7" s="117">
        <f t="shared" si="0"/>
        <v>9.0909090909090917</v>
      </c>
      <c r="K7" s="114">
        <f t="shared" si="1"/>
        <v>454.54545454545456</v>
      </c>
      <c r="L7" s="232"/>
    </row>
    <row r="8" spans="1:18" s="210" customFormat="1" ht="23.25" customHeight="1">
      <c r="A8" s="7">
        <v>4</v>
      </c>
      <c r="B8" s="224" t="s">
        <v>316</v>
      </c>
      <c r="C8" s="72" t="s">
        <v>28</v>
      </c>
      <c r="D8" s="53">
        <f>D7</f>
        <v>10000</v>
      </c>
      <c r="E8" s="72">
        <v>250</v>
      </c>
      <c r="F8" s="231">
        <f t="shared" si="2"/>
        <v>1.6</v>
      </c>
      <c r="G8" s="114">
        <f t="shared" si="3"/>
        <v>40</v>
      </c>
      <c r="H8" s="114">
        <f t="shared" si="4"/>
        <v>16000</v>
      </c>
      <c r="I8" s="226">
        <v>22</v>
      </c>
      <c r="J8" s="117">
        <f t="shared" si="0"/>
        <v>1.8181818181818181</v>
      </c>
      <c r="K8" s="114">
        <f t="shared" si="1"/>
        <v>454.5454545454545</v>
      </c>
      <c r="L8" s="375"/>
    </row>
    <row r="9" spans="1:18" ht="27" customHeight="1">
      <c r="A9" s="747" t="s">
        <v>251</v>
      </c>
      <c r="B9" s="747"/>
      <c r="C9" s="11"/>
      <c r="D9" s="12"/>
      <c r="E9" s="12"/>
      <c r="F9" s="12"/>
      <c r="G9" s="368">
        <f>SUM(G5:G8)</f>
        <v>240</v>
      </c>
      <c r="H9" s="368">
        <f>SUM(H5:H8)</f>
        <v>96000</v>
      </c>
      <c r="I9" s="214"/>
      <c r="J9" s="193">
        <f>SUM(J4:J7)</f>
        <v>9.0909090909090917</v>
      </c>
      <c r="K9" s="748"/>
      <c r="L9" s="749"/>
      <c r="M9" s="112"/>
      <c r="R9" s="34"/>
    </row>
    <row r="10" spans="1:18" s="44" customFormat="1" ht="27" customHeight="1">
      <c r="A10" s="745" t="s">
        <v>149</v>
      </c>
      <c r="B10" s="745"/>
      <c r="C10" s="745"/>
      <c r="D10" s="745"/>
      <c r="E10" s="745"/>
      <c r="F10" s="745"/>
      <c r="G10" s="745"/>
      <c r="H10" s="745"/>
      <c r="I10" s="745"/>
      <c r="J10" s="745"/>
      <c r="K10" s="745"/>
      <c r="L10" s="745"/>
    </row>
    <row r="11" spans="1:18" s="209" customFormat="1" ht="41.25" customHeight="1">
      <c r="A11" s="746" t="s">
        <v>2</v>
      </c>
      <c r="B11" s="746"/>
      <c r="C11" s="138" t="s">
        <v>3</v>
      </c>
      <c r="D11" s="138" t="s">
        <v>4</v>
      </c>
      <c r="E11" s="138" t="s">
        <v>5</v>
      </c>
      <c r="F11" s="138" t="s">
        <v>6</v>
      </c>
      <c r="G11" s="366" t="s">
        <v>59</v>
      </c>
      <c r="H11" s="138" t="s">
        <v>60</v>
      </c>
      <c r="I11" s="215" t="s">
        <v>9</v>
      </c>
      <c r="J11" s="138" t="s">
        <v>79</v>
      </c>
      <c r="K11" s="138" t="s">
        <v>247</v>
      </c>
      <c r="L11" s="197" t="s">
        <v>12</v>
      </c>
    </row>
    <row r="12" spans="1:18" s="210" customFormat="1" ht="24.75" customHeight="1">
      <c r="A12" s="109">
        <v>1</v>
      </c>
      <c r="B12" s="224" t="s">
        <v>267</v>
      </c>
      <c r="C12" s="72" t="s">
        <v>26</v>
      </c>
      <c r="D12" s="53">
        <f>D5*9</f>
        <v>90000</v>
      </c>
      <c r="E12" s="72">
        <v>2000</v>
      </c>
      <c r="F12" s="234">
        <f>400/E12</f>
        <v>0.2</v>
      </c>
      <c r="G12" s="114">
        <f>D12/E12</f>
        <v>45</v>
      </c>
      <c r="H12" s="114">
        <f>G12*F12*E12</f>
        <v>18000</v>
      </c>
      <c r="I12" s="226">
        <v>66</v>
      </c>
      <c r="J12" s="117">
        <f t="shared" ref="J12:J15" si="5">G12/I12</f>
        <v>0.68181818181818177</v>
      </c>
      <c r="K12" s="114">
        <f>J12*E12</f>
        <v>1363.6363636363635</v>
      </c>
      <c r="L12" s="228"/>
      <c r="M12" s="229"/>
      <c r="R12" s="230"/>
    </row>
    <row r="13" spans="1:18" s="210" customFormat="1" ht="36.75" customHeight="1">
      <c r="A13" s="7">
        <v>2</v>
      </c>
      <c r="B13" s="224" t="s">
        <v>259</v>
      </c>
      <c r="C13" s="225" t="s">
        <v>28</v>
      </c>
      <c r="D13" s="114">
        <f>D6*6</f>
        <v>540000</v>
      </c>
      <c r="E13" s="226">
        <v>250</v>
      </c>
      <c r="F13" s="235">
        <f>400/E13</f>
        <v>1.6</v>
      </c>
      <c r="G13" s="114">
        <f t="shared" ref="G13:G15" si="6">D13/E13</f>
        <v>2160</v>
      </c>
      <c r="H13" s="114">
        <f>(G13*F13*E13)</f>
        <v>864000</v>
      </c>
      <c r="I13" s="226">
        <v>66</v>
      </c>
      <c r="J13" s="117">
        <f t="shared" si="5"/>
        <v>32.727272727272727</v>
      </c>
      <c r="K13" s="114">
        <f t="shared" ref="K13:K15" si="7">J13*E13</f>
        <v>8181.818181818182</v>
      </c>
      <c r="L13" s="228"/>
      <c r="M13" s="229"/>
      <c r="R13" s="230"/>
    </row>
    <row r="14" spans="1:18" s="210" customFormat="1" ht="24.75" customHeight="1">
      <c r="A14" s="7">
        <v>3</v>
      </c>
      <c r="B14" s="224" t="s">
        <v>257</v>
      </c>
      <c r="C14" s="225" t="s">
        <v>28</v>
      </c>
      <c r="D14" s="114">
        <f>D6/100*20</f>
        <v>18000</v>
      </c>
      <c r="E14" s="226">
        <v>100</v>
      </c>
      <c r="F14" s="235">
        <f>400/E14</f>
        <v>4</v>
      </c>
      <c r="G14" s="114">
        <f t="shared" si="6"/>
        <v>180</v>
      </c>
      <c r="H14" s="114">
        <f>(G14*F14*E14)</f>
        <v>72000</v>
      </c>
      <c r="I14" s="226">
        <v>66</v>
      </c>
      <c r="J14" s="117">
        <f t="shared" si="5"/>
        <v>2.7272727272727271</v>
      </c>
      <c r="K14" s="114">
        <f t="shared" si="7"/>
        <v>272.72727272727269</v>
      </c>
      <c r="L14" s="228"/>
      <c r="M14" s="229"/>
      <c r="R14" s="230"/>
    </row>
    <row r="15" spans="1:18" s="210" customFormat="1" ht="24.75" customHeight="1">
      <c r="A15" s="7">
        <v>4</v>
      </c>
      <c r="B15" s="224" t="s">
        <v>260</v>
      </c>
      <c r="C15" s="72" t="s">
        <v>28</v>
      </c>
      <c r="D15" s="114">
        <f>D6</f>
        <v>90000</v>
      </c>
      <c r="E15" s="226">
        <v>400</v>
      </c>
      <c r="F15" s="235">
        <f>400/E15</f>
        <v>1</v>
      </c>
      <c r="G15" s="114">
        <f t="shared" si="6"/>
        <v>225</v>
      </c>
      <c r="H15" s="114">
        <f>(G15*F15*E15)</f>
        <v>90000</v>
      </c>
      <c r="I15" s="226">
        <v>66</v>
      </c>
      <c r="J15" s="117">
        <f t="shared" si="5"/>
        <v>3.4090909090909092</v>
      </c>
      <c r="K15" s="114">
        <f t="shared" si="7"/>
        <v>1363.6363636363637</v>
      </c>
      <c r="L15" s="228"/>
      <c r="M15" s="229"/>
      <c r="R15" s="230"/>
    </row>
    <row r="16" spans="1:18" ht="27" customHeight="1">
      <c r="A16" s="747" t="s">
        <v>251</v>
      </c>
      <c r="B16" s="747"/>
      <c r="C16" s="11"/>
      <c r="D16" s="12"/>
      <c r="E16" s="12"/>
      <c r="F16" s="12"/>
      <c r="G16" s="192">
        <f>SUM(G12:G15)</f>
        <v>2610</v>
      </c>
      <c r="H16" s="192">
        <f>SUM(H12:H15)</f>
        <v>1044000</v>
      </c>
      <c r="I16" s="214"/>
      <c r="J16" s="193">
        <f>SUM(J12:J15)</f>
        <v>39.54545454545454</v>
      </c>
      <c r="K16" s="748"/>
      <c r="L16" s="749"/>
      <c r="M16" s="112"/>
      <c r="R16" s="34"/>
    </row>
    <row r="17" spans="1:18" ht="27" customHeight="1">
      <c r="A17" s="745" t="s">
        <v>61</v>
      </c>
      <c r="B17" s="745"/>
      <c r="C17" s="745"/>
      <c r="D17" s="745"/>
      <c r="E17" s="745"/>
      <c r="F17" s="745"/>
      <c r="G17" s="745"/>
      <c r="H17" s="745"/>
      <c r="I17" s="745"/>
      <c r="J17" s="745"/>
      <c r="K17" s="745"/>
      <c r="L17" s="745"/>
    </row>
    <row r="18" spans="1:18" s="210" customFormat="1" ht="39" customHeight="1">
      <c r="A18" s="29" t="s">
        <v>1</v>
      </c>
      <c r="B18" s="204" t="s">
        <v>78</v>
      </c>
      <c r="C18" s="138" t="s">
        <v>3</v>
      </c>
      <c r="D18" s="138" t="s">
        <v>4</v>
      </c>
      <c r="E18" s="138" t="s">
        <v>5</v>
      </c>
      <c r="F18" s="138" t="s">
        <v>6</v>
      </c>
      <c r="G18" s="138" t="s">
        <v>59</v>
      </c>
      <c r="H18" s="138" t="s">
        <v>60</v>
      </c>
      <c r="I18" s="215" t="s">
        <v>33</v>
      </c>
      <c r="J18" s="138" t="s">
        <v>34</v>
      </c>
      <c r="K18" s="194" t="s">
        <v>247</v>
      </c>
      <c r="L18" s="194" t="s">
        <v>12</v>
      </c>
    </row>
    <row r="19" spans="1:18" s="210" customFormat="1" ht="23.25" customHeight="1">
      <c r="A19" s="7">
        <v>3</v>
      </c>
      <c r="B19" s="224" t="s">
        <v>256</v>
      </c>
      <c r="C19" s="225" t="s">
        <v>26</v>
      </c>
      <c r="D19" s="114">
        <f>D5*12</f>
        <v>120000</v>
      </c>
      <c r="E19" s="226">
        <v>2000</v>
      </c>
      <c r="F19" s="227">
        <f>400/E19</f>
        <v>0.2</v>
      </c>
      <c r="G19" s="114">
        <f>D19/E19</f>
        <v>60</v>
      </c>
      <c r="H19" s="114">
        <f>G19*F19*E19</f>
        <v>24000</v>
      </c>
      <c r="I19" s="226">
        <v>66</v>
      </c>
      <c r="J19" s="117">
        <f>G19/I19</f>
        <v>0.90909090909090906</v>
      </c>
      <c r="K19" s="117">
        <f t="shared" ref="K19" si="8">J19*E19</f>
        <v>1818.181818181818</v>
      </c>
      <c r="L19" s="228"/>
      <c r="M19" s="229"/>
      <c r="R19" s="230"/>
    </row>
    <row r="20" spans="1:18" s="210" customFormat="1" ht="23.25" customHeight="1">
      <c r="A20" s="59">
        <v>4</v>
      </c>
      <c r="B20" s="224" t="s">
        <v>258</v>
      </c>
      <c r="C20" s="22" t="s">
        <v>249</v>
      </c>
      <c r="D20" s="53">
        <f>D6*9</f>
        <v>810000</v>
      </c>
      <c r="E20" s="72">
        <v>250</v>
      </c>
      <c r="F20" s="195">
        <f>400/E20</f>
        <v>1.6</v>
      </c>
      <c r="G20" s="53">
        <f>D20/E20</f>
        <v>3240</v>
      </c>
      <c r="H20" s="53">
        <f>G20*F20*E20</f>
        <v>1296000</v>
      </c>
      <c r="I20" s="216">
        <v>66</v>
      </c>
      <c r="J20" s="42">
        <f>G20/I20</f>
        <v>49.090909090909093</v>
      </c>
      <c r="K20" s="117">
        <f>J20*E20</f>
        <v>12272.727272727274</v>
      </c>
      <c r="L20" s="228"/>
      <c r="M20" s="229"/>
      <c r="R20" s="230"/>
    </row>
    <row r="21" spans="1:18" ht="28.5" customHeight="1">
      <c r="A21" s="758" t="s">
        <v>83</v>
      </c>
      <c r="B21" s="758"/>
      <c r="C21" s="11"/>
      <c r="D21" s="12"/>
      <c r="E21" s="12"/>
      <c r="F21" s="12"/>
      <c r="G21" s="192">
        <f>SUM(G19:G20)</f>
        <v>3300</v>
      </c>
      <c r="H21" s="192">
        <f>SUM(H19:H20)</f>
        <v>1320000</v>
      </c>
      <c r="I21" s="214"/>
      <c r="J21" s="196">
        <f>SUM(J19:J20)</f>
        <v>50</v>
      </c>
      <c r="K21" s="759"/>
      <c r="L21" s="760"/>
      <c r="M21" s="112"/>
      <c r="R21" s="34"/>
    </row>
    <row r="22" spans="1:18" ht="28.5" customHeight="1">
      <c r="A22" s="745" t="s">
        <v>263</v>
      </c>
      <c r="B22" s="745"/>
      <c r="C22" s="745"/>
      <c r="D22" s="745"/>
      <c r="E22" s="745"/>
      <c r="F22" s="745"/>
      <c r="G22" s="745"/>
      <c r="H22" s="745"/>
      <c r="I22" s="745"/>
      <c r="J22" s="745"/>
      <c r="K22" s="745"/>
      <c r="L22" s="745"/>
      <c r="M22" s="112"/>
      <c r="R22" s="34"/>
    </row>
    <row r="23" spans="1:18" s="210" customFormat="1" ht="38.25" customHeight="1">
      <c r="A23" s="136" t="s">
        <v>1</v>
      </c>
      <c r="B23" s="211" t="s">
        <v>30</v>
      </c>
      <c r="C23" s="197" t="s">
        <v>3</v>
      </c>
      <c r="D23" s="138" t="s">
        <v>31</v>
      </c>
      <c r="E23" s="138" t="s">
        <v>5</v>
      </c>
      <c r="F23" s="138" t="s">
        <v>6</v>
      </c>
      <c r="G23" s="138" t="s">
        <v>32</v>
      </c>
      <c r="H23" s="138" t="s">
        <v>8</v>
      </c>
      <c r="I23" s="215" t="s">
        <v>254</v>
      </c>
      <c r="J23" s="138" t="s">
        <v>79</v>
      </c>
      <c r="K23" s="138" t="s">
        <v>247</v>
      </c>
      <c r="L23" s="198" t="s">
        <v>12</v>
      </c>
    </row>
    <row r="24" spans="1:18" s="210" customFormat="1" ht="24.75" customHeight="1">
      <c r="A24" s="7">
        <v>1</v>
      </c>
      <c r="B24" s="224" t="s">
        <v>256</v>
      </c>
      <c r="C24" s="109" t="s">
        <v>26</v>
      </c>
      <c r="D24" s="53">
        <f>D5*12</f>
        <v>120000</v>
      </c>
      <c r="E24" s="72">
        <v>2000</v>
      </c>
      <c r="F24" s="231">
        <f>400/E24</f>
        <v>0.2</v>
      </c>
      <c r="G24" s="114">
        <f>D24/E24</f>
        <v>60</v>
      </c>
      <c r="H24" s="114">
        <f>G24*F24*E24</f>
        <v>24000</v>
      </c>
      <c r="I24" s="226">
        <v>54</v>
      </c>
      <c r="J24" s="117">
        <f t="shared" ref="J24:J29" si="9">G24/I24</f>
        <v>1.1111111111111112</v>
      </c>
      <c r="K24" s="114">
        <f t="shared" ref="K24:K29" si="10">J24*E24</f>
        <v>2222.2222222222222</v>
      </c>
      <c r="L24" s="228"/>
    </row>
    <row r="25" spans="1:18" s="210" customFormat="1" ht="24.75" customHeight="1">
      <c r="A25" s="226">
        <v>2</v>
      </c>
      <c r="B25" s="224" t="s">
        <v>258</v>
      </c>
      <c r="C25" s="72" t="s">
        <v>28</v>
      </c>
      <c r="D25" s="53">
        <f>D6*6</f>
        <v>540000</v>
      </c>
      <c r="E25" s="72">
        <v>250</v>
      </c>
      <c r="F25" s="231">
        <f t="shared" ref="F25:F29" si="11">400/E25</f>
        <v>1.6</v>
      </c>
      <c r="G25" s="114">
        <f t="shared" ref="G25:G29" si="12">D25/E25</f>
        <v>2160</v>
      </c>
      <c r="H25" s="114">
        <f>G25*F25*E25</f>
        <v>864000</v>
      </c>
      <c r="I25" s="226">
        <v>54</v>
      </c>
      <c r="J25" s="117">
        <f t="shared" si="9"/>
        <v>40</v>
      </c>
      <c r="K25" s="114">
        <f t="shared" si="10"/>
        <v>10000</v>
      </c>
      <c r="L25" s="232"/>
    </row>
    <row r="26" spans="1:18" s="210" customFormat="1" ht="24.75" customHeight="1">
      <c r="A26" s="7">
        <v>3</v>
      </c>
      <c r="B26" s="224" t="s">
        <v>265</v>
      </c>
      <c r="C26" s="72" t="s">
        <v>26</v>
      </c>
      <c r="D26" s="53">
        <f>D27*3</f>
        <v>27000</v>
      </c>
      <c r="E26" s="72">
        <v>250</v>
      </c>
      <c r="F26" s="231">
        <f t="shared" si="11"/>
        <v>1.6</v>
      </c>
      <c r="G26" s="114">
        <f t="shared" si="12"/>
        <v>108</v>
      </c>
      <c r="H26" s="114">
        <f t="shared" ref="H26:H29" si="13">G26*F26*E26</f>
        <v>43200</v>
      </c>
      <c r="I26" s="226">
        <v>54</v>
      </c>
      <c r="J26" s="117">
        <f t="shared" si="9"/>
        <v>2</v>
      </c>
      <c r="K26" s="114">
        <f t="shared" si="10"/>
        <v>500</v>
      </c>
      <c r="L26" s="232"/>
    </row>
    <row r="27" spans="1:18" s="210" customFormat="1" ht="33.75" customHeight="1">
      <c r="A27" s="226">
        <v>4</v>
      </c>
      <c r="B27" s="233" t="s">
        <v>261</v>
      </c>
      <c r="C27" s="72" t="s">
        <v>28</v>
      </c>
      <c r="D27" s="114">
        <f>D6/100*10</f>
        <v>9000</v>
      </c>
      <c r="E27" s="238">
        <v>50</v>
      </c>
      <c r="F27" s="231">
        <f t="shared" si="11"/>
        <v>8</v>
      </c>
      <c r="G27" s="114">
        <f t="shared" si="12"/>
        <v>180</v>
      </c>
      <c r="H27" s="114">
        <f t="shared" si="13"/>
        <v>72000</v>
      </c>
      <c r="I27" s="226">
        <v>33</v>
      </c>
      <c r="J27" s="117">
        <f t="shared" si="9"/>
        <v>5.4545454545454541</v>
      </c>
      <c r="K27" s="114">
        <f t="shared" si="10"/>
        <v>272.72727272727269</v>
      </c>
      <c r="L27" s="228"/>
    </row>
    <row r="28" spans="1:18" s="210" customFormat="1" ht="24.75" customHeight="1">
      <c r="A28" s="7">
        <v>5</v>
      </c>
      <c r="B28" s="224" t="s">
        <v>315</v>
      </c>
      <c r="C28" s="72" t="s">
        <v>28</v>
      </c>
      <c r="D28" s="53">
        <v>30000</v>
      </c>
      <c r="E28" s="72">
        <v>50</v>
      </c>
      <c r="F28" s="231">
        <f>400/E28</f>
        <v>8</v>
      </c>
      <c r="G28" s="114">
        <f>D28/E28</f>
        <v>600</v>
      </c>
      <c r="H28" s="114">
        <f>G28*F28*E28</f>
        <v>240000</v>
      </c>
      <c r="I28" s="226">
        <v>33</v>
      </c>
      <c r="J28" s="117">
        <f>G28/I28</f>
        <v>18.181818181818183</v>
      </c>
      <c r="K28" s="114">
        <f>J28*E28</f>
        <v>909.09090909090912</v>
      </c>
      <c r="L28" s="232"/>
    </row>
    <row r="29" spans="1:18" s="210" customFormat="1" ht="18.75" customHeight="1">
      <c r="A29" s="226">
        <v>6</v>
      </c>
      <c r="B29" s="233" t="s">
        <v>317</v>
      </c>
      <c r="C29" s="72" t="s">
        <v>28</v>
      </c>
      <c r="D29" s="114">
        <f>D27+D28</f>
        <v>39000</v>
      </c>
      <c r="E29" s="238">
        <v>250</v>
      </c>
      <c r="F29" s="231">
        <f t="shared" si="11"/>
        <v>1.6</v>
      </c>
      <c r="G29" s="114">
        <f t="shared" si="12"/>
        <v>156</v>
      </c>
      <c r="H29" s="114">
        <f t="shared" si="13"/>
        <v>62400.000000000007</v>
      </c>
      <c r="I29" s="226">
        <v>33</v>
      </c>
      <c r="J29" s="369">
        <f t="shared" si="9"/>
        <v>4.7272727272727275</v>
      </c>
      <c r="K29" s="114">
        <f t="shared" si="10"/>
        <v>1181.818181818182</v>
      </c>
      <c r="L29" s="374"/>
    </row>
    <row r="30" spans="1:18" ht="30.75" customHeight="1">
      <c r="A30" s="747" t="s">
        <v>80</v>
      </c>
      <c r="B30" s="747"/>
      <c r="C30" s="11"/>
      <c r="D30" s="12"/>
      <c r="E30" s="12">
        <v>0</v>
      </c>
      <c r="F30" s="12">
        <v>0</v>
      </c>
      <c r="G30" s="192">
        <f>SUM(G24:G29)</f>
        <v>3264</v>
      </c>
      <c r="H30" s="192">
        <f>SUM(H24:H29)</f>
        <v>1305600</v>
      </c>
      <c r="I30" s="214"/>
      <c r="J30" s="196">
        <f>SUM(J24:J29)</f>
        <v>71.474747474747488</v>
      </c>
      <c r="K30" s="759"/>
      <c r="L30" s="760"/>
    </row>
    <row r="31" spans="1:18" ht="29.25" customHeight="1">
      <c r="A31" s="756" t="s">
        <v>255</v>
      </c>
      <c r="B31" s="756"/>
      <c r="C31" s="199"/>
      <c r="D31" s="199">
        <v>0</v>
      </c>
      <c r="E31" s="199">
        <v>0</v>
      </c>
      <c r="F31" s="200">
        <f t="shared" ref="F31" si="14">SUM(F9+F16+F21+F30)</f>
        <v>0</v>
      </c>
      <c r="G31" s="200">
        <f>SUM(G9+G16+G21+G30)</f>
        <v>9414</v>
      </c>
      <c r="H31" s="200">
        <f>SUM(H9+H16+H21+H30)</f>
        <v>3765600</v>
      </c>
      <c r="I31" s="217"/>
      <c r="J31" s="201"/>
      <c r="K31" s="202"/>
      <c r="L31" s="202"/>
    </row>
    <row r="32" spans="1:18" s="219" customFormat="1" ht="27.75" customHeight="1">
      <c r="A32" s="763" t="s">
        <v>266</v>
      </c>
      <c r="B32" s="763"/>
      <c r="C32" s="220"/>
      <c r="D32" s="220"/>
      <c r="E32" s="220"/>
      <c r="F32" s="220"/>
      <c r="G32" s="220"/>
      <c r="H32" s="221">
        <f>H31/68.34</f>
        <v>55100.965759438099</v>
      </c>
      <c r="I32" s="222"/>
      <c r="J32" s="223"/>
      <c r="K32" s="223"/>
      <c r="L32" s="220"/>
    </row>
    <row r="33" spans="1:12" s="244" customFormat="1" ht="26.25" customHeight="1">
      <c r="A33" s="721" t="s">
        <v>321</v>
      </c>
      <c r="B33" s="721"/>
      <c r="C33" s="721"/>
      <c r="D33" s="68"/>
      <c r="E33" s="68"/>
      <c r="F33" s="176"/>
      <c r="G33" s="68" t="s">
        <v>44</v>
      </c>
      <c r="H33" s="68" t="s">
        <v>217</v>
      </c>
      <c r="J33" s="248"/>
      <c r="L33" s="68"/>
    </row>
    <row r="34" spans="1:12" s="244" customFormat="1" ht="45.75" customHeight="1">
      <c r="A34" s="267" t="s">
        <v>318</v>
      </c>
      <c r="B34" s="268"/>
      <c r="C34" s="269" t="s">
        <v>48</v>
      </c>
      <c r="D34" s="270"/>
      <c r="E34" s="270"/>
      <c r="F34" s="269" t="s">
        <v>200</v>
      </c>
      <c r="G34" s="39"/>
      <c r="H34" s="324"/>
      <c r="I34" s="270" t="s">
        <v>320</v>
      </c>
      <c r="J34" s="324" t="s">
        <v>49</v>
      </c>
      <c r="K34" s="324"/>
      <c r="L34" s="39"/>
    </row>
    <row r="35" spans="1:12" s="271" customFormat="1" ht="33.75" customHeight="1">
      <c r="B35" s="272"/>
      <c r="C35" s="271" t="s">
        <v>286</v>
      </c>
      <c r="F35" s="244" t="s">
        <v>52</v>
      </c>
      <c r="H35" s="325"/>
      <c r="J35" s="325" t="s">
        <v>54</v>
      </c>
      <c r="K35" s="326"/>
      <c r="L35" s="323" t="s">
        <v>81</v>
      </c>
    </row>
  </sheetData>
  <mergeCells count="19">
    <mergeCell ref="K30:L30"/>
    <mergeCell ref="A31:B31"/>
    <mergeCell ref="A32:B32"/>
    <mergeCell ref="A33:C33"/>
    <mergeCell ref="A21:B21"/>
    <mergeCell ref="K21:L21"/>
    <mergeCell ref="A22:L22"/>
    <mergeCell ref="A30:B30"/>
    <mergeCell ref="A17:L17"/>
    <mergeCell ref="A1:L1"/>
    <mergeCell ref="A2:L2"/>
    <mergeCell ref="A3:L3"/>
    <mergeCell ref="A4:B4"/>
    <mergeCell ref="A9:B9"/>
    <mergeCell ref="K9:L9"/>
    <mergeCell ref="A10:L10"/>
    <mergeCell ref="A11:B11"/>
    <mergeCell ref="A16:B16"/>
    <mergeCell ref="K16:L16"/>
  </mergeCells>
  <printOptions horizontalCentered="1"/>
  <pageMargins left="0.35" right="0.36" top="0.32" bottom="0.28999999999999998" header="0.17" footer="0.18"/>
  <pageSetup paperSize="9" scale="5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35"/>
  <sheetViews>
    <sheetView rightToLeft="1" view="pageBreakPreview" topLeftCell="A31" zoomScale="80" zoomScaleSheetLayoutView="80" workbookViewId="0">
      <selection activeCell="C34" sqref="C34"/>
    </sheetView>
  </sheetViews>
  <sheetFormatPr defaultColWidth="9.125" defaultRowHeight="15"/>
  <cols>
    <col min="1" max="1" width="7" style="120" customWidth="1"/>
    <col min="2" max="2" width="50.125" style="120" customWidth="1"/>
    <col min="3" max="3" width="10" style="120" customWidth="1"/>
    <col min="4" max="4" width="17" style="120" bestFit="1" customWidth="1"/>
    <col min="5" max="5" width="13.25" style="120" customWidth="1"/>
    <col min="6" max="6" width="14.625" style="120" customWidth="1"/>
    <col min="7" max="7" width="14.75" style="120" customWidth="1"/>
    <col min="8" max="8" width="18.625" style="120" customWidth="1"/>
    <col min="9" max="9" width="13.125" style="218" customWidth="1"/>
    <col min="10" max="10" width="13.125" style="212" customWidth="1"/>
    <col min="11" max="11" width="19" style="212" customWidth="1"/>
    <col min="12" max="12" width="48.375" style="120" customWidth="1"/>
    <col min="13" max="13" width="10.75" style="120" bestFit="1" customWidth="1"/>
    <col min="14" max="14" width="17.625" style="120" customWidth="1"/>
    <col min="15" max="15" width="17" style="120" customWidth="1"/>
    <col min="16" max="16" width="24.125" style="120" customWidth="1"/>
    <col min="17" max="17" width="9.125" style="120"/>
    <col min="18" max="18" width="11.75" style="120" customWidth="1"/>
    <col min="19" max="19" width="9.125" style="120"/>
    <col min="20" max="20" width="13.375" style="120" customWidth="1"/>
    <col min="21" max="16384" width="9.125" style="120"/>
  </cols>
  <sheetData>
    <row r="1" spans="1:18" ht="60.75" customHeight="1">
      <c r="A1" s="750" t="s">
        <v>262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</row>
    <row r="2" spans="1:18" ht="24.75" customHeight="1">
      <c r="A2" s="751" t="s">
        <v>215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N2" s="34"/>
    </row>
    <row r="3" spans="1:18" s="141" customFormat="1" ht="24.75" customHeight="1">
      <c r="A3" s="745" t="s">
        <v>148</v>
      </c>
      <c r="B3" s="745"/>
      <c r="C3" s="745"/>
      <c r="D3" s="745"/>
      <c r="E3" s="745"/>
      <c r="F3" s="745"/>
      <c r="G3" s="745"/>
      <c r="H3" s="745"/>
      <c r="I3" s="745"/>
      <c r="J3" s="745"/>
      <c r="K3" s="745"/>
      <c r="L3" s="745"/>
    </row>
    <row r="4" spans="1:18" s="208" customFormat="1" ht="35.25" customHeight="1">
      <c r="A4" s="752" t="s">
        <v>2</v>
      </c>
      <c r="B4" s="752"/>
      <c r="C4" s="206" t="s">
        <v>3</v>
      </c>
      <c r="D4" s="206" t="s">
        <v>4</v>
      </c>
      <c r="E4" s="206" t="s">
        <v>5</v>
      </c>
      <c r="F4" s="206" t="s">
        <v>6</v>
      </c>
      <c r="G4" s="206" t="s">
        <v>59</v>
      </c>
      <c r="H4" s="206" t="s">
        <v>60</v>
      </c>
      <c r="I4" s="213" t="s">
        <v>9</v>
      </c>
      <c r="J4" s="206" t="s">
        <v>79</v>
      </c>
      <c r="K4" s="206" t="s">
        <v>247</v>
      </c>
      <c r="L4" s="197" t="s">
        <v>12</v>
      </c>
    </row>
    <row r="5" spans="1:18" s="209" customFormat="1" ht="22.5" customHeight="1">
      <c r="A5" s="226">
        <v>1</v>
      </c>
      <c r="B5" s="224" t="s">
        <v>267</v>
      </c>
      <c r="C5" s="226" t="s">
        <v>26</v>
      </c>
      <c r="D5" s="114">
        <v>10000</v>
      </c>
      <c r="E5" s="72">
        <v>2000</v>
      </c>
      <c r="F5" s="231">
        <f>400/E5</f>
        <v>0.2</v>
      </c>
      <c r="G5" s="114"/>
      <c r="H5" s="114">
        <f>G5*F5*E5</f>
        <v>0</v>
      </c>
      <c r="I5" s="226">
        <v>22</v>
      </c>
      <c r="J5" s="117">
        <f t="shared" ref="J5:J8" si="0">G5/I5</f>
        <v>0</v>
      </c>
      <c r="K5" s="114">
        <f t="shared" ref="K5:K8" si="1">J5*E5</f>
        <v>0</v>
      </c>
      <c r="L5" s="228"/>
    </row>
    <row r="6" spans="1:18" s="209" customFormat="1" ht="22.5" customHeight="1">
      <c r="A6" s="109">
        <v>2</v>
      </c>
      <c r="B6" s="224" t="s">
        <v>258</v>
      </c>
      <c r="C6" s="72" t="s">
        <v>28</v>
      </c>
      <c r="D6" s="53">
        <f>80000/100*80+60000</f>
        <v>124000</v>
      </c>
      <c r="E6" s="72">
        <v>250</v>
      </c>
      <c r="F6" s="372">
        <v>0.2</v>
      </c>
      <c r="G6" s="114"/>
      <c r="H6" s="114">
        <f>G6*F6*E6</f>
        <v>0</v>
      </c>
      <c r="I6" s="226">
        <v>22</v>
      </c>
      <c r="J6" s="117">
        <f t="shared" si="0"/>
        <v>0</v>
      </c>
      <c r="K6" s="114">
        <f t="shared" si="1"/>
        <v>0</v>
      </c>
      <c r="L6" s="237"/>
    </row>
    <row r="7" spans="1:18" s="209" customFormat="1" ht="22.5" customHeight="1">
      <c r="A7" s="226">
        <v>3</v>
      </c>
      <c r="B7" s="224" t="s">
        <v>315</v>
      </c>
      <c r="C7" s="72" t="s">
        <v>28</v>
      </c>
      <c r="D7" s="53">
        <v>20000</v>
      </c>
      <c r="E7" s="72">
        <v>50</v>
      </c>
      <c r="F7" s="231">
        <f>400/E7</f>
        <v>8</v>
      </c>
      <c r="G7" s="114">
        <f>D7/E7</f>
        <v>400</v>
      </c>
      <c r="H7" s="114">
        <f>G7*F7*E7</f>
        <v>160000</v>
      </c>
      <c r="I7" s="226">
        <v>22</v>
      </c>
      <c r="J7" s="117">
        <f t="shared" si="0"/>
        <v>18.181818181818183</v>
      </c>
      <c r="K7" s="114">
        <f t="shared" si="1"/>
        <v>909.09090909090912</v>
      </c>
      <c r="L7" s="371"/>
    </row>
    <row r="8" spans="1:18" s="209" customFormat="1" ht="22.5" customHeight="1">
      <c r="A8" s="226">
        <v>4</v>
      </c>
      <c r="B8" s="224" t="s">
        <v>316</v>
      </c>
      <c r="C8" s="72"/>
      <c r="D8" s="53">
        <v>20000</v>
      </c>
      <c r="E8" s="72">
        <v>250</v>
      </c>
      <c r="F8" s="231">
        <f>400/E8</f>
        <v>1.6</v>
      </c>
      <c r="G8" s="114">
        <f>D8/E8</f>
        <v>80</v>
      </c>
      <c r="H8" s="114">
        <f>G8*F8*E8</f>
        <v>32000</v>
      </c>
      <c r="I8" s="226">
        <v>22</v>
      </c>
      <c r="J8" s="117">
        <f t="shared" si="0"/>
        <v>3.6363636363636362</v>
      </c>
      <c r="K8" s="114">
        <f t="shared" si="1"/>
        <v>909.09090909090901</v>
      </c>
      <c r="L8" s="371"/>
    </row>
    <row r="9" spans="1:18" s="44" customFormat="1" ht="27.75" customHeight="1">
      <c r="A9" s="747" t="s">
        <v>248</v>
      </c>
      <c r="B9" s="747"/>
      <c r="C9" s="11"/>
      <c r="D9" s="12"/>
      <c r="E9" s="12"/>
      <c r="F9" s="12"/>
      <c r="G9" s="192">
        <f>SUM(G5:G8)</f>
        <v>480</v>
      </c>
      <c r="H9" s="14">
        <f>SUM(H5:H7)</f>
        <v>160000</v>
      </c>
      <c r="I9" s="214"/>
      <c r="J9" s="367">
        <f>SUM(J5:J8)</f>
        <v>21.81818181818182</v>
      </c>
      <c r="K9" s="753"/>
      <c r="L9" s="754"/>
    </row>
    <row r="10" spans="1:18" s="44" customFormat="1" ht="27.75" customHeight="1">
      <c r="A10" s="745" t="s">
        <v>149</v>
      </c>
      <c r="B10" s="745"/>
      <c r="C10" s="745"/>
      <c r="D10" s="745"/>
      <c r="E10" s="745"/>
      <c r="F10" s="745"/>
      <c r="G10" s="745"/>
      <c r="H10" s="745"/>
      <c r="I10" s="745"/>
      <c r="J10" s="745"/>
      <c r="K10" s="745"/>
      <c r="L10" s="745"/>
    </row>
    <row r="11" spans="1:18" s="209" customFormat="1" ht="36.75" customHeight="1">
      <c r="A11" s="746" t="s">
        <v>2</v>
      </c>
      <c r="B11" s="746"/>
      <c r="C11" s="138" t="s">
        <v>3</v>
      </c>
      <c r="D11" s="138" t="s">
        <v>4</v>
      </c>
      <c r="E11" s="138" t="s">
        <v>5</v>
      </c>
      <c r="F11" s="138" t="s">
        <v>6</v>
      </c>
      <c r="G11" s="138" t="s">
        <v>59</v>
      </c>
      <c r="H11" s="138" t="s">
        <v>60</v>
      </c>
      <c r="I11" s="215" t="s">
        <v>9</v>
      </c>
      <c r="J11" s="138" t="s">
        <v>79</v>
      </c>
      <c r="K11" s="138" t="s">
        <v>247</v>
      </c>
      <c r="L11" s="136" t="s">
        <v>12</v>
      </c>
    </row>
    <row r="12" spans="1:18" s="210" customFormat="1" ht="24.75" customHeight="1">
      <c r="A12" s="109">
        <v>1</v>
      </c>
      <c r="B12" s="224" t="s">
        <v>267</v>
      </c>
      <c r="C12" s="72" t="s">
        <v>26</v>
      </c>
      <c r="D12" s="53">
        <f>D5*9</f>
        <v>90000</v>
      </c>
      <c r="E12" s="72">
        <v>2000</v>
      </c>
      <c r="F12" s="234">
        <f>400/E12</f>
        <v>0.2</v>
      </c>
      <c r="G12" s="114">
        <f>D12/E12</f>
        <v>45</v>
      </c>
      <c r="H12" s="114">
        <f>G12*F12*E12</f>
        <v>18000</v>
      </c>
      <c r="I12" s="226">
        <v>66</v>
      </c>
      <c r="J12" s="117">
        <f t="shared" ref="J12:J15" si="2">G12/I12</f>
        <v>0.68181818181818177</v>
      </c>
      <c r="K12" s="114">
        <f>J12*E12</f>
        <v>1363.6363636363635</v>
      </c>
      <c r="L12" s="228"/>
      <c r="M12" s="229"/>
      <c r="R12" s="230"/>
    </row>
    <row r="13" spans="1:18" s="210" customFormat="1" ht="31.5" customHeight="1">
      <c r="A13" s="7">
        <v>2</v>
      </c>
      <c r="B13" s="224" t="s">
        <v>259</v>
      </c>
      <c r="C13" s="225" t="s">
        <v>28</v>
      </c>
      <c r="D13" s="114">
        <f>D6*6</f>
        <v>744000</v>
      </c>
      <c r="E13" s="226">
        <v>250</v>
      </c>
      <c r="F13" s="235">
        <f>400/E13</f>
        <v>1.6</v>
      </c>
      <c r="G13" s="114">
        <f t="shared" ref="G13:G15" si="3">D13/E13</f>
        <v>2976</v>
      </c>
      <c r="H13" s="114">
        <f>(G13*F13*E13)</f>
        <v>1190400</v>
      </c>
      <c r="I13" s="226">
        <v>66</v>
      </c>
      <c r="J13" s="117">
        <f t="shared" si="2"/>
        <v>45.090909090909093</v>
      </c>
      <c r="K13" s="114">
        <f t="shared" ref="K13:K15" si="4">J13*E13</f>
        <v>11272.727272727274</v>
      </c>
      <c r="L13" s="228"/>
      <c r="M13" s="229"/>
      <c r="R13" s="230"/>
    </row>
    <row r="14" spans="1:18" s="210" customFormat="1" ht="25.5" customHeight="1">
      <c r="A14" s="7">
        <v>3</v>
      </c>
      <c r="B14" s="224" t="s">
        <v>257</v>
      </c>
      <c r="C14" s="225" t="s">
        <v>28</v>
      </c>
      <c r="D14" s="114">
        <f>D6/100*20</f>
        <v>24800</v>
      </c>
      <c r="E14" s="226">
        <v>100</v>
      </c>
      <c r="F14" s="235">
        <f>400/E14</f>
        <v>4</v>
      </c>
      <c r="G14" s="114">
        <f t="shared" si="3"/>
        <v>248</v>
      </c>
      <c r="H14" s="114">
        <f>(G14*F14*E14)</f>
        <v>99200</v>
      </c>
      <c r="I14" s="226">
        <v>66</v>
      </c>
      <c r="J14" s="117">
        <f t="shared" si="2"/>
        <v>3.7575757575757578</v>
      </c>
      <c r="K14" s="114">
        <f t="shared" si="4"/>
        <v>375.75757575757575</v>
      </c>
      <c r="L14" s="228"/>
      <c r="M14" s="229"/>
      <c r="R14" s="230"/>
    </row>
    <row r="15" spans="1:18" s="210" customFormat="1" ht="25.5" customHeight="1">
      <c r="A15" s="7">
        <v>4</v>
      </c>
      <c r="B15" s="224" t="s">
        <v>260</v>
      </c>
      <c r="C15" s="72" t="s">
        <v>28</v>
      </c>
      <c r="D15" s="114">
        <f>D6</f>
        <v>124000</v>
      </c>
      <c r="E15" s="226">
        <v>400</v>
      </c>
      <c r="F15" s="235">
        <f>400/E15</f>
        <v>1</v>
      </c>
      <c r="G15" s="114">
        <f t="shared" si="3"/>
        <v>310</v>
      </c>
      <c r="H15" s="114">
        <f>(G15*F15*E15)</f>
        <v>124000</v>
      </c>
      <c r="I15" s="226">
        <v>66</v>
      </c>
      <c r="J15" s="117">
        <f t="shared" si="2"/>
        <v>4.6969696969696972</v>
      </c>
      <c r="K15" s="114">
        <f t="shared" si="4"/>
        <v>1878.787878787879</v>
      </c>
      <c r="L15" s="228"/>
      <c r="M15" s="229"/>
      <c r="R15" s="230"/>
    </row>
    <row r="16" spans="1:18" ht="27" customHeight="1">
      <c r="A16" s="747" t="s">
        <v>251</v>
      </c>
      <c r="B16" s="747"/>
      <c r="C16" s="11"/>
      <c r="D16" s="12"/>
      <c r="E16" s="12"/>
      <c r="F16" s="12"/>
      <c r="G16" s="192">
        <f>SUM(G12:G15)</f>
        <v>3579</v>
      </c>
      <c r="H16" s="192">
        <f>SUM(H12:H15)</f>
        <v>1431600</v>
      </c>
      <c r="I16" s="214"/>
      <c r="J16" s="193">
        <f>SUM(J12:J15)</f>
        <v>54.227272727272727</v>
      </c>
      <c r="K16" s="748"/>
      <c r="L16" s="749"/>
      <c r="M16" s="112"/>
      <c r="R16" s="34"/>
    </row>
    <row r="17" spans="1:18" ht="27" customHeight="1">
      <c r="A17" s="745" t="s">
        <v>61</v>
      </c>
      <c r="B17" s="745"/>
      <c r="C17" s="745"/>
      <c r="D17" s="745"/>
      <c r="E17" s="745"/>
      <c r="F17" s="745"/>
      <c r="G17" s="745"/>
      <c r="H17" s="745"/>
      <c r="I17" s="745"/>
      <c r="J17" s="745"/>
      <c r="K17" s="745"/>
      <c r="L17" s="745"/>
    </row>
    <row r="18" spans="1:18" s="210" customFormat="1" ht="39" customHeight="1">
      <c r="A18" s="29" t="s">
        <v>1</v>
      </c>
      <c r="B18" s="204" t="s">
        <v>78</v>
      </c>
      <c r="C18" s="138" t="s">
        <v>3</v>
      </c>
      <c r="D18" s="138" t="s">
        <v>4</v>
      </c>
      <c r="E18" s="138" t="s">
        <v>5</v>
      </c>
      <c r="F18" s="138" t="s">
        <v>6</v>
      </c>
      <c r="G18" s="138" t="s">
        <v>59</v>
      </c>
      <c r="H18" s="138" t="s">
        <v>60</v>
      </c>
      <c r="I18" s="215" t="s">
        <v>33</v>
      </c>
      <c r="J18" s="138" t="s">
        <v>34</v>
      </c>
      <c r="K18" s="194" t="s">
        <v>247</v>
      </c>
      <c r="L18" s="194" t="s">
        <v>12</v>
      </c>
    </row>
    <row r="19" spans="1:18" s="210" customFormat="1" ht="23.25" customHeight="1">
      <c r="A19" s="7">
        <v>3</v>
      </c>
      <c r="B19" s="224" t="s">
        <v>256</v>
      </c>
      <c r="C19" s="225" t="s">
        <v>26</v>
      </c>
      <c r="D19" s="114">
        <f>D5*12</f>
        <v>120000</v>
      </c>
      <c r="E19" s="226">
        <v>2000</v>
      </c>
      <c r="F19" s="227">
        <f>400/E19</f>
        <v>0.2</v>
      </c>
      <c r="G19" s="114">
        <f>D19/E19</f>
        <v>60</v>
      </c>
      <c r="H19" s="114">
        <f>G19*F19*E19</f>
        <v>24000</v>
      </c>
      <c r="I19" s="226">
        <v>66</v>
      </c>
      <c r="J19" s="117">
        <f>G19/I19</f>
        <v>0.90909090909090906</v>
      </c>
      <c r="K19" s="117">
        <f t="shared" ref="K19" si="5">J19*E19</f>
        <v>1818.181818181818</v>
      </c>
      <c r="L19" s="228"/>
      <c r="M19" s="229"/>
      <c r="R19" s="230"/>
    </row>
    <row r="20" spans="1:18" s="210" customFormat="1" ht="23.25" customHeight="1">
      <c r="A20" s="59">
        <v>4</v>
      </c>
      <c r="B20" s="224" t="s">
        <v>258</v>
      </c>
      <c r="C20" s="22" t="s">
        <v>249</v>
      </c>
      <c r="D20" s="53">
        <f>D6*9</f>
        <v>1116000</v>
      </c>
      <c r="E20" s="72">
        <v>250</v>
      </c>
      <c r="F20" s="195">
        <f>400/E20</f>
        <v>1.6</v>
      </c>
      <c r="G20" s="53">
        <f>D20/E20</f>
        <v>4464</v>
      </c>
      <c r="H20" s="53">
        <f>G20*F20*E20</f>
        <v>1785600.0000000002</v>
      </c>
      <c r="I20" s="216">
        <v>66</v>
      </c>
      <c r="J20" s="42">
        <f>G20/I20</f>
        <v>67.63636363636364</v>
      </c>
      <c r="K20" s="117">
        <f>J20*E20</f>
        <v>16909.090909090912</v>
      </c>
      <c r="L20" s="228"/>
      <c r="M20" s="229"/>
      <c r="R20" s="230"/>
    </row>
    <row r="21" spans="1:18" ht="27.75" customHeight="1">
      <c r="A21" s="758" t="s">
        <v>83</v>
      </c>
      <c r="B21" s="758"/>
      <c r="C21" s="11"/>
      <c r="D21" s="12"/>
      <c r="E21" s="12"/>
      <c r="F21" s="12"/>
      <c r="G21" s="192">
        <f>SUM(G19:G20)</f>
        <v>4524</v>
      </c>
      <c r="H21" s="192">
        <f>SUM(H19:H20)</f>
        <v>1809600.0000000002</v>
      </c>
      <c r="I21" s="214"/>
      <c r="J21" s="196">
        <f>SUM(J19:J20)</f>
        <v>68.545454545454547</v>
      </c>
      <c r="K21" s="759"/>
      <c r="L21" s="760"/>
      <c r="M21" s="112"/>
      <c r="R21" s="34"/>
    </row>
    <row r="22" spans="1:18" ht="27.75" customHeight="1">
      <c r="A22" s="745" t="s">
        <v>263</v>
      </c>
      <c r="B22" s="745"/>
      <c r="C22" s="745"/>
      <c r="D22" s="745"/>
      <c r="E22" s="745"/>
      <c r="F22" s="745"/>
      <c r="G22" s="745"/>
      <c r="H22" s="745"/>
      <c r="I22" s="745"/>
      <c r="J22" s="745"/>
      <c r="K22" s="745"/>
      <c r="L22" s="745"/>
      <c r="M22" s="112"/>
      <c r="R22" s="34"/>
    </row>
    <row r="23" spans="1:18" s="210" customFormat="1" ht="38.25" customHeight="1">
      <c r="A23" s="136" t="s">
        <v>1</v>
      </c>
      <c r="B23" s="211" t="s">
        <v>30</v>
      </c>
      <c r="C23" s="197" t="s">
        <v>3</v>
      </c>
      <c r="D23" s="138" t="s">
        <v>31</v>
      </c>
      <c r="E23" s="138" t="s">
        <v>5</v>
      </c>
      <c r="F23" s="138" t="s">
        <v>6</v>
      </c>
      <c r="G23" s="138" t="s">
        <v>32</v>
      </c>
      <c r="H23" s="138" t="s">
        <v>8</v>
      </c>
      <c r="I23" s="215" t="s">
        <v>254</v>
      </c>
      <c r="J23" s="138" t="s">
        <v>79</v>
      </c>
      <c r="K23" s="138" t="s">
        <v>247</v>
      </c>
      <c r="L23" s="198" t="s">
        <v>12</v>
      </c>
    </row>
    <row r="24" spans="1:18" s="210" customFormat="1" ht="21.75" customHeight="1">
      <c r="A24" s="7">
        <v>1</v>
      </c>
      <c r="B24" s="224" t="s">
        <v>256</v>
      </c>
      <c r="C24" s="109" t="s">
        <v>26</v>
      </c>
      <c r="D24" s="53">
        <f>D5*12</f>
        <v>120000</v>
      </c>
      <c r="E24" s="72">
        <v>2000</v>
      </c>
      <c r="F24" s="231">
        <f>400/E24</f>
        <v>0.2</v>
      </c>
      <c r="G24" s="114">
        <f>D24/E24</f>
        <v>60</v>
      </c>
      <c r="H24" s="114">
        <f>G24*F24*E24</f>
        <v>24000</v>
      </c>
      <c r="I24" s="226">
        <v>54</v>
      </c>
      <c r="J24" s="117">
        <f t="shared" ref="J24:J29" si="6">G24/I24</f>
        <v>1.1111111111111112</v>
      </c>
      <c r="K24" s="370">
        <f t="shared" ref="K24:K27" si="7">J24*E24</f>
        <v>2222.2222222222222</v>
      </c>
      <c r="L24" s="228"/>
    </row>
    <row r="25" spans="1:18" s="210" customFormat="1" ht="21.75" customHeight="1">
      <c r="A25" s="226">
        <v>2</v>
      </c>
      <c r="B25" s="224" t="s">
        <v>258</v>
      </c>
      <c r="C25" s="72" t="s">
        <v>28</v>
      </c>
      <c r="D25" s="53">
        <f>D6*6</f>
        <v>744000</v>
      </c>
      <c r="E25" s="72">
        <v>250</v>
      </c>
      <c r="F25" s="231">
        <f t="shared" ref="F25:F29" si="8">400/E25</f>
        <v>1.6</v>
      </c>
      <c r="G25" s="114">
        <f t="shared" ref="G25:G29" si="9">D25/E25</f>
        <v>2976</v>
      </c>
      <c r="H25" s="114">
        <f>G25*F25*E25</f>
        <v>1190400</v>
      </c>
      <c r="I25" s="226">
        <v>54</v>
      </c>
      <c r="J25" s="117">
        <f t="shared" si="6"/>
        <v>55.111111111111114</v>
      </c>
      <c r="K25" s="370">
        <f t="shared" si="7"/>
        <v>13777.777777777779</v>
      </c>
      <c r="L25" s="232"/>
    </row>
    <row r="26" spans="1:18" s="210" customFormat="1" ht="21.75" customHeight="1">
      <c r="A26" s="7">
        <v>3</v>
      </c>
      <c r="B26" s="224" t="s">
        <v>265</v>
      </c>
      <c r="C26" s="72" t="s">
        <v>26</v>
      </c>
      <c r="D26" s="53">
        <f>D27*3</f>
        <v>37200</v>
      </c>
      <c r="E26" s="72">
        <v>250</v>
      </c>
      <c r="F26" s="231">
        <f t="shared" si="8"/>
        <v>1.6</v>
      </c>
      <c r="G26" s="114">
        <f t="shared" si="9"/>
        <v>148.80000000000001</v>
      </c>
      <c r="H26" s="114">
        <f t="shared" ref="H26:H29" si="10">G26*F26*E26</f>
        <v>59520.000000000007</v>
      </c>
      <c r="I26" s="226">
        <v>54</v>
      </c>
      <c r="J26" s="117">
        <f t="shared" si="6"/>
        <v>2.755555555555556</v>
      </c>
      <c r="K26" s="370">
        <f t="shared" si="7"/>
        <v>688.88888888888903</v>
      </c>
      <c r="L26" s="232"/>
    </row>
    <row r="27" spans="1:18" s="210" customFormat="1" ht="33.75" customHeight="1">
      <c r="A27" s="226">
        <v>4</v>
      </c>
      <c r="B27" s="233" t="s">
        <v>261</v>
      </c>
      <c r="C27" s="72" t="s">
        <v>28</v>
      </c>
      <c r="D27" s="114">
        <f>D6/100*10</f>
        <v>12400</v>
      </c>
      <c r="E27" s="238">
        <v>50</v>
      </c>
      <c r="F27" s="231">
        <f t="shared" si="8"/>
        <v>8</v>
      </c>
      <c r="G27" s="114">
        <f t="shared" si="9"/>
        <v>248</v>
      </c>
      <c r="H27" s="114">
        <f t="shared" si="10"/>
        <v>99200</v>
      </c>
      <c r="I27" s="226">
        <v>33</v>
      </c>
      <c r="J27" s="117">
        <f t="shared" si="6"/>
        <v>7.5151515151515156</v>
      </c>
      <c r="K27" s="370">
        <f t="shared" si="7"/>
        <v>375.75757575757575</v>
      </c>
      <c r="L27" s="228"/>
    </row>
    <row r="28" spans="1:18" s="210" customFormat="1" ht="21.75" customHeight="1">
      <c r="A28" s="7">
        <v>5</v>
      </c>
      <c r="B28" s="224" t="s">
        <v>315</v>
      </c>
      <c r="C28" s="72" t="s">
        <v>28</v>
      </c>
      <c r="D28" s="53">
        <v>20000</v>
      </c>
      <c r="E28" s="72">
        <v>50</v>
      </c>
      <c r="F28" s="231">
        <f>400/E28</f>
        <v>8</v>
      </c>
      <c r="G28" s="114">
        <f>D28/E28</f>
        <v>400</v>
      </c>
      <c r="H28" s="114">
        <f>G28*F28*E28</f>
        <v>160000</v>
      </c>
      <c r="I28" s="226">
        <v>33</v>
      </c>
      <c r="J28" s="117">
        <f>G28/I28</f>
        <v>12.121212121212121</v>
      </c>
      <c r="K28" s="370">
        <f>J28*E28</f>
        <v>606.06060606060601</v>
      </c>
      <c r="L28" s="232"/>
    </row>
    <row r="29" spans="1:18" s="210" customFormat="1" ht="21" customHeight="1">
      <c r="A29" s="226">
        <v>6</v>
      </c>
      <c r="B29" s="233" t="s">
        <v>317</v>
      </c>
      <c r="C29" s="72" t="s">
        <v>28</v>
      </c>
      <c r="D29" s="114">
        <f>D28+D27</f>
        <v>32400</v>
      </c>
      <c r="E29" s="238">
        <v>250</v>
      </c>
      <c r="F29" s="231">
        <f t="shared" si="8"/>
        <v>1.6</v>
      </c>
      <c r="G29" s="114">
        <f t="shared" si="9"/>
        <v>129.6</v>
      </c>
      <c r="H29" s="114">
        <f t="shared" si="10"/>
        <v>51840</v>
      </c>
      <c r="I29" s="226">
        <v>33</v>
      </c>
      <c r="J29" s="369">
        <f t="shared" si="6"/>
        <v>3.9272727272727272</v>
      </c>
      <c r="K29" s="370">
        <f>J29*E29</f>
        <v>981.81818181818176</v>
      </c>
      <c r="L29" s="228"/>
    </row>
    <row r="30" spans="1:18" ht="30.75" customHeight="1">
      <c r="A30" s="747" t="s">
        <v>80</v>
      </c>
      <c r="B30" s="747"/>
      <c r="C30" s="11"/>
      <c r="D30" s="12"/>
      <c r="E30" s="12"/>
      <c r="F30" s="12"/>
      <c r="G30" s="192">
        <f>SUM(G24:G29)</f>
        <v>3962.4</v>
      </c>
      <c r="H30" s="192">
        <f>SUM(H24:H29)</f>
        <v>1584960</v>
      </c>
      <c r="I30" s="214"/>
      <c r="J30" s="196">
        <f>SUM(J24:J29)</f>
        <v>82.541414141414137</v>
      </c>
      <c r="K30" s="759"/>
      <c r="L30" s="760"/>
    </row>
    <row r="31" spans="1:18" ht="29.25" customHeight="1">
      <c r="A31" s="756" t="s">
        <v>255</v>
      </c>
      <c r="B31" s="756"/>
      <c r="C31" s="199"/>
      <c r="D31" s="199"/>
      <c r="E31" s="199"/>
      <c r="F31" s="200"/>
      <c r="G31" s="200">
        <f>SUM(G9+G16+G21+G30)</f>
        <v>12545.4</v>
      </c>
      <c r="H31" s="200">
        <f>SUM(H9+H16+H21+H30)</f>
        <v>4986160</v>
      </c>
      <c r="I31" s="217"/>
      <c r="J31" s="201"/>
      <c r="K31" s="202"/>
      <c r="L31" s="202"/>
    </row>
    <row r="32" spans="1:18" s="219" customFormat="1" ht="27.75" customHeight="1">
      <c r="A32" s="757" t="s">
        <v>266</v>
      </c>
      <c r="B32" s="757"/>
      <c r="C32" s="220"/>
      <c r="D32" s="220"/>
      <c r="E32" s="220"/>
      <c r="F32" s="220"/>
      <c r="G32" s="220"/>
      <c r="H32" s="221">
        <f>H31/68.34</f>
        <v>72961.076968100664</v>
      </c>
      <c r="I32" s="222"/>
      <c r="J32" s="223"/>
      <c r="K32" s="223"/>
      <c r="L32" s="220"/>
    </row>
    <row r="33" spans="1:12" s="244" customFormat="1" ht="31.5" customHeight="1">
      <c r="A33" s="721" t="s">
        <v>321</v>
      </c>
      <c r="B33" s="721"/>
      <c r="C33" s="721"/>
      <c r="D33" s="68"/>
      <c r="E33" s="68"/>
      <c r="F33" s="176"/>
      <c r="G33" s="68" t="s">
        <v>44</v>
      </c>
      <c r="H33" s="68" t="s">
        <v>217</v>
      </c>
      <c r="J33" s="248"/>
      <c r="L33" s="68"/>
    </row>
    <row r="34" spans="1:12" s="270" customFormat="1" ht="54" customHeight="1">
      <c r="A34" s="267" t="s">
        <v>318</v>
      </c>
      <c r="B34" s="268"/>
      <c r="C34" s="269" t="s">
        <v>48</v>
      </c>
      <c r="F34" s="269" t="s">
        <v>200</v>
      </c>
      <c r="G34" s="39"/>
      <c r="H34" s="324"/>
      <c r="I34" s="384" t="s">
        <v>319</v>
      </c>
      <c r="J34" s="324" t="s">
        <v>49</v>
      </c>
      <c r="K34" s="324"/>
      <c r="L34" s="39"/>
    </row>
    <row r="35" spans="1:12" s="244" customFormat="1" ht="26.25" customHeight="1">
      <c r="A35" s="271"/>
      <c r="B35" s="272"/>
      <c r="C35" s="271" t="s">
        <v>286</v>
      </c>
      <c r="D35" s="271"/>
      <c r="E35" s="271"/>
      <c r="F35" s="244" t="s">
        <v>52</v>
      </c>
      <c r="G35" s="271"/>
      <c r="H35" s="325"/>
      <c r="I35" s="271"/>
      <c r="J35" s="325" t="s">
        <v>54</v>
      </c>
      <c r="K35" s="326"/>
      <c r="L35" s="323" t="s">
        <v>81</v>
      </c>
    </row>
  </sheetData>
  <mergeCells count="19">
    <mergeCell ref="A1:L1"/>
    <mergeCell ref="A2:L2"/>
    <mergeCell ref="A3:L3"/>
    <mergeCell ref="A32:B32"/>
    <mergeCell ref="A16:B16"/>
    <mergeCell ref="K16:L16"/>
    <mergeCell ref="A17:L17"/>
    <mergeCell ref="A21:B21"/>
    <mergeCell ref="K21:L21"/>
    <mergeCell ref="A22:L22"/>
    <mergeCell ref="A31:B31"/>
    <mergeCell ref="A4:B4"/>
    <mergeCell ref="A33:C33"/>
    <mergeCell ref="A9:B9"/>
    <mergeCell ref="K9:L9"/>
    <mergeCell ref="A10:L10"/>
    <mergeCell ref="A11:B11"/>
    <mergeCell ref="A30:B30"/>
    <mergeCell ref="K30:L30"/>
  </mergeCells>
  <printOptions horizontalCentered="1"/>
  <pageMargins left="0.35" right="0.36" top="0.32" bottom="0.28999999999999998" header="0.17" footer="0.18"/>
  <pageSetup paperSize="9" scale="5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40"/>
  <sheetViews>
    <sheetView rightToLeft="1" view="pageBreakPreview" topLeftCell="A22" zoomScale="60" workbookViewId="0">
      <selection activeCell="D7" sqref="D7"/>
    </sheetView>
  </sheetViews>
  <sheetFormatPr defaultColWidth="9.125" defaultRowHeight="15"/>
  <cols>
    <col min="1" max="1" width="7" style="120" customWidth="1"/>
    <col min="2" max="2" width="48.25" style="120" customWidth="1"/>
    <col min="3" max="3" width="10" style="120" customWidth="1"/>
    <col min="4" max="4" width="17" style="120" bestFit="1" customWidth="1"/>
    <col min="5" max="5" width="13.25" style="120" customWidth="1"/>
    <col min="6" max="6" width="14.625" style="120" customWidth="1"/>
    <col min="7" max="7" width="14.75" style="120" customWidth="1"/>
    <col min="8" max="8" width="18.625" style="120" customWidth="1"/>
    <col min="9" max="10" width="13.125" style="120" customWidth="1"/>
    <col min="11" max="11" width="19" style="120" customWidth="1"/>
    <col min="12" max="12" width="48.375" style="120" customWidth="1"/>
    <col min="13" max="13" width="10.75" style="120" bestFit="1" customWidth="1"/>
    <col min="14" max="14" width="17.625" style="120" customWidth="1"/>
    <col min="15" max="15" width="17" style="120" customWidth="1"/>
    <col min="16" max="16" width="24.125" style="120" customWidth="1"/>
    <col min="17" max="17" width="9.125" style="120"/>
    <col min="18" max="18" width="11.75" style="120" customWidth="1"/>
    <col min="19" max="19" width="9.125" style="120"/>
    <col min="20" max="20" width="13.375" style="120" customWidth="1"/>
    <col min="21" max="16384" width="9.125" style="120"/>
  </cols>
  <sheetData>
    <row r="1" spans="1:18" ht="60.75" customHeight="1">
      <c r="A1" s="750" t="s">
        <v>244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</row>
    <row r="2" spans="1:18" ht="27.75" customHeight="1" thickBot="1">
      <c r="A2" s="751" t="s">
        <v>215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N2" s="34"/>
    </row>
    <row r="3" spans="1:18" ht="41.25" customHeight="1" thickBot="1">
      <c r="A3" s="768" t="s">
        <v>232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70"/>
    </row>
    <row r="4" spans="1:18" s="141" customFormat="1" ht="32.25" customHeight="1">
      <c r="A4" s="771" t="s">
        <v>209</v>
      </c>
      <c r="B4" s="771"/>
      <c r="C4" s="771"/>
      <c r="D4" s="771"/>
      <c r="E4" s="771"/>
      <c r="F4" s="771"/>
      <c r="G4" s="771"/>
      <c r="H4" s="771"/>
      <c r="I4" s="771"/>
      <c r="J4" s="771"/>
      <c r="K4" s="771"/>
      <c r="L4" s="771"/>
    </row>
    <row r="5" spans="1:18" s="141" customFormat="1" ht="38.25" customHeight="1">
      <c r="A5" s="145" t="s">
        <v>1</v>
      </c>
      <c r="B5" s="146" t="s">
        <v>78</v>
      </c>
      <c r="C5" s="146" t="s">
        <v>3</v>
      </c>
      <c r="D5" s="147" t="s">
        <v>4</v>
      </c>
      <c r="E5" s="147" t="s">
        <v>5</v>
      </c>
      <c r="F5" s="147" t="s">
        <v>6</v>
      </c>
      <c r="G5" s="147" t="s">
        <v>59</v>
      </c>
      <c r="H5" s="147" t="s">
        <v>8</v>
      </c>
      <c r="I5" s="147" t="s">
        <v>210</v>
      </c>
      <c r="J5" s="147" t="s">
        <v>211</v>
      </c>
      <c r="K5" s="147" t="s">
        <v>212</v>
      </c>
      <c r="L5" s="147" t="s">
        <v>12</v>
      </c>
    </row>
    <row r="6" spans="1:18" s="141" customFormat="1" ht="31.5" customHeight="1">
      <c r="A6" s="188"/>
      <c r="B6" s="189" t="s">
        <v>237</v>
      </c>
      <c r="C6" s="189" t="s">
        <v>41</v>
      </c>
      <c r="D6" s="185">
        <v>0</v>
      </c>
      <c r="E6" s="185"/>
      <c r="F6" s="185"/>
      <c r="G6" s="185"/>
      <c r="H6" s="185"/>
      <c r="I6" s="185"/>
      <c r="J6" s="185"/>
      <c r="K6" s="185"/>
      <c r="L6" s="185"/>
    </row>
    <row r="7" spans="1:18" s="44" customFormat="1" ht="23.25" customHeight="1">
      <c r="A7" s="32">
        <v>1</v>
      </c>
      <c r="B7" s="187" t="s">
        <v>201</v>
      </c>
      <c r="C7" s="142" t="s">
        <v>228</v>
      </c>
      <c r="D7" s="144">
        <f>D6*1666/100*20</f>
        <v>0</v>
      </c>
      <c r="E7" s="162">
        <v>13</v>
      </c>
      <c r="F7" s="162">
        <f>400/E7</f>
        <v>30.76923076923077</v>
      </c>
      <c r="G7" s="162">
        <f>D7*1/E7</f>
        <v>0</v>
      </c>
      <c r="H7" s="142">
        <f>G7*F7*E7</f>
        <v>0</v>
      </c>
      <c r="I7" s="42">
        <v>22</v>
      </c>
      <c r="J7" s="143">
        <f>G7/I7</f>
        <v>0</v>
      </c>
      <c r="K7" s="42">
        <f>J7*E7</f>
        <v>0</v>
      </c>
      <c r="L7" s="113" t="s">
        <v>221</v>
      </c>
    </row>
    <row r="8" spans="1:18" s="44" customFormat="1" ht="23.25" customHeight="1">
      <c r="A8" s="32">
        <v>2</v>
      </c>
      <c r="B8" s="187" t="s">
        <v>202</v>
      </c>
      <c r="C8" s="142" t="s">
        <v>14</v>
      </c>
      <c r="D8" s="144">
        <f>D6/100*10*1000/100*20</f>
        <v>0</v>
      </c>
      <c r="E8" s="162">
        <v>13</v>
      </c>
      <c r="F8" s="162">
        <f t="shared" ref="F8:F10" si="0">400/E8</f>
        <v>30.76923076923077</v>
      </c>
      <c r="G8" s="162">
        <f t="shared" ref="G8:G10" si="1">D8*1/E8</f>
        <v>0</v>
      </c>
      <c r="H8" s="42">
        <f t="shared" ref="H8:H10" si="2">G8*F8*E8</f>
        <v>0</v>
      </c>
      <c r="I8" s="42">
        <v>22</v>
      </c>
      <c r="J8" s="143">
        <f t="shared" ref="J8:J10" si="3">G8/I8</f>
        <v>0</v>
      </c>
      <c r="K8" s="42">
        <f t="shared" ref="K8:K10" si="4">J8*E8</f>
        <v>0</v>
      </c>
      <c r="L8" s="113" t="s">
        <v>221</v>
      </c>
    </row>
    <row r="9" spans="1:18" s="44" customFormat="1" ht="23.25" customHeight="1">
      <c r="A9" s="32">
        <v>3</v>
      </c>
      <c r="B9" s="187" t="s">
        <v>203</v>
      </c>
      <c r="C9" s="142" t="s">
        <v>227</v>
      </c>
      <c r="D9" s="144">
        <f>D6*2/100*20</f>
        <v>0</v>
      </c>
      <c r="E9" s="162">
        <v>0.5</v>
      </c>
      <c r="F9" s="162">
        <f t="shared" si="0"/>
        <v>800</v>
      </c>
      <c r="G9" s="162">
        <f t="shared" si="1"/>
        <v>0</v>
      </c>
      <c r="H9" s="42">
        <f t="shared" si="2"/>
        <v>0</v>
      </c>
      <c r="I9" s="42">
        <v>22</v>
      </c>
      <c r="J9" s="143">
        <f t="shared" si="3"/>
        <v>0</v>
      </c>
      <c r="K9" s="42">
        <f t="shared" si="4"/>
        <v>0</v>
      </c>
      <c r="L9" s="113" t="s">
        <v>221</v>
      </c>
    </row>
    <row r="10" spans="1:18" s="44" customFormat="1" ht="23.25" customHeight="1">
      <c r="A10" s="32">
        <v>4</v>
      </c>
      <c r="B10" s="187" t="s">
        <v>204</v>
      </c>
      <c r="C10" s="142" t="s">
        <v>229</v>
      </c>
      <c r="D10" s="144">
        <f>D6*800/100*20</f>
        <v>0</v>
      </c>
      <c r="E10" s="162">
        <v>13</v>
      </c>
      <c r="F10" s="162">
        <f t="shared" si="0"/>
        <v>30.76923076923077</v>
      </c>
      <c r="G10" s="162">
        <f t="shared" si="1"/>
        <v>0</v>
      </c>
      <c r="H10" s="42">
        <f t="shared" si="2"/>
        <v>0</v>
      </c>
      <c r="I10" s="42">
        <v>22</v>
      </c>
      <c r="J10" s="143">
        <f t="shared" si="3"/>
        <v>0</v>
      </c>
      <c r="K10" s="42">
        <f t="shared" si="4"/>
        <v>0</v>
      </c>
      <c r="L10" s="139" t="s">
        <v>221</v>
      </c>
    </row>
    <row r="11" spans="1:18" s="44" customFormat="1" ht="29.25" customHeight="1">
      <c r="A11" s="772" t="s">
        <v>220</v>
      </c>
      <c r="B11" s="772"/>
      <c r="C11" s="772"/>
      <c r="D11" s="150"/>
      <c r="E11" s="151"/>
      <c r="F11" s="151"/>
      <c r="G11" s="186">
        <f>SUM(G7:G10)</f>
        <v>0</v>
      </c>
      <c r="H11" s="186">
        <f>SUM(H7:H10)</f>
        <v>0</v>
      </c>
      <c r="I11" s="186"/>
      <c r="J11" s="152">
        <f>SUM(J7:J10)</f>
        <v>0</v>
      </c>
      <c r="K11" s="773" t="s">
        <v>235</v>
      </c>
      <c r="L11" s="773"/>
    </row>
    <row r="12" spans="1:18" ht="37.5" customHeight="1">
      <c r="A12" s="765" t="s">
        <v>149</v>
      </c>
      <c r="B12" s="765"/>
      <c r="C12" s="765"/>
      <c r="D12" s="765"/>
      <c r="E12" s="765"/>
      <c r="F12" s="765"/>
      <c r="G12" s="765"/>
      <c r="H12" s="765"/>
      <c r="I12" s="765"/>
      <c r="J12" s="765"/>
      <c r="K12" s="765"/>
      <c r="L12" s="765"/>
    </row>
    <row r="13" spans="1:18" ht="36" customHeight="1">
      <c r="A13" s="149" t="s">
        <v>1</v>
      </c>
      <c r="B13" s="147" t="s">
        <v>78</v>
      </c>
      <c r="C13" s="147" t="s">
        <v>3</v>
      </c>
      <c r="D13" s="147" t="s">
        <v>4</v>
      </c>
      <c r="E13" s="147" t="s">
        <v>5</v>
      </c>
      <c r="F13" s="147" t="s">
        <v>6</v>
      </c>
      <c r="G13" s="147" t="s">
        <v>59</v>
      </c>
      <c r="H13" s="147" t="s">
        <v>60</v>
      </c>
      <c r="I13" s="147" t="s">
        <v>9</v>
      </c>
      <c r="J13" s="147" t="s">
        <v>79</v>
      </c>
      <c r="K13" s="148" t="s">
        <v>86</v>
      </c>
      <c r="L13" s="148" t="s">
        <v>12</v>
      </c>
    </row>
    <row r="14" spans="1:18" ht="23.25" customHeight="1">
      <c r="A14" s="37">
        <v>1</v>
      </c>
      <c r="B14" s="187" t="s">
        <v>201</v>
      </c>
      <c r="C14" s="7" t="s">
        <v>14</v>
      </c>
      <c r="D14" s="144">
        <f>D6*1666/100*40</f>
        <v>0</v>
      </c>
      <c r="E14" s="162">
        <v>13</v>
      </c>
      <c r="F14" s="162">
        <f>400/E14</f>
        <v>30.76923076923077</v>
      </c>
      <c r="G14" s="162">
        <f>D14*1/E14</f>
        <v>0</v>
      </c>
      <c r="H14" s="142">
        <f>G14*F14*E14</f>
        <v>0</v>
      </c>
      <c r="I14" s="42">
        <v>66</v>
      </c>
      <c r="J14" s="143">
        <f>G14/I14</f>
        <v>0</v>
      </c>
      <c r="K14" s="42">
        <f>J14*E14</f>
        <v>0</v>
      </c>
      <c r="L14" s="57" t="s">
        <v>222</v>
      </c>
      <c r="M14" s="112"/>
      <c r="R14" s="34"/>
    </row>
    <row r="15" spans="1:18" ht="23.25" customHeight="1">
      <c r="A15" s="37">
        <v>2</v>
      </c>
      <c r="B15" s="187" t="s">
        <v>202</v>
      </c>
      <c r="C15" s="7" t="s">
        <v>14</v>
      </c>
      <c r="D15" s="144">
        <f>D6/100*10*1000/100*40</f>
        <v>0</v>
      </c>
      <c r="E15" s="162">
        <v>13</v>
      </c>
      <c r="F15" s="162">
        <f t="shared" ref="F15:F17" si="5">400/E15</f>
        <v>30.76923076923077</v>
      </c>
      <c r="G15" s="162">
        <f t="shared" ref="G15:G17" si="6">D15*1/E15</f>
        <v>0</v>
      </c>
      <c r="H15" s="142">
        <f t="shared" ref="H15:H17" si="7">G15*F15*E15</f>
        <v>0</v>
      </c>
      <c r="I15" s="42">
        <v>66</v>
      </c>
      <c r="J15" s="143">
        <f t="shared" ref="J15:J17" si="8">G15/I15</f>
        <v>0</v>
      </c>
      <c r="K15" s="42">
        <f t="shared" ref="K15:K17" si="9">J15*E15</f>
        <v>0</v>
      </c>
      <c r="L15" s="57" t="s">
        <v>222</v>
      </c>
      <c r="M15" s="112"/>
      <c r="R15" s="34"/>
    </row>
    <row r="16" spans="1:18" ht="23.25" customHeight="1">
      <c r="A16" s="37">
        <v>3</v>
      </c>
      <c r="B16" s="187" t="s">
        <v>203</v>
      </c>
      <c r="C16" s="7" t="s">
        <v>227</v>
      </c>
      <c r="D16" s="144">
        <f>D6*2/100*40</f>
        <v>0</v>
      </c>
      <c r="E16" s="162">
        <v>0.5</v>
      </c>
      <c r="F16" s="162">
        <f t="shared" si="5"/>
        <v>800</v>
      </c>
      <c r="G16" s="162">
        <f t="shared" si="6"/>
        <v>0</v>
      </c>
      <c r="H16" s="142">
        <f t="shared" si="7"/>
        <v>0</v>
      </c>
      <c r="I16" s="42">
        <v>66</v>
      </c>
      <c r="J16" s="143">
        <f t="shared" si="8"/>
        <v>0</v>
      </c>
      <c r="K16" s="42">
        <f t="shared" si="9"/>
        <v>0</v>
      </c>
      <c r="L16" s="57" t="s">
        <v>222</v>
      </c>
      <c r="M16" s="112"/>
      <c r="R16" s="34"/>
    </row>
    <row r="17" spans="1:18" ht="23.25" customHeight="1">
      <c r="A17" s="37">
        <v>4</v>
      </c>
      <c r="B17" s="187" t="s">
        <v>204</v>
      </c>
      <c r="C17" s="7" t="s">
        <v>229</v>
      </c>
      <c r="D17" s="144">
        <f>D6*800/100*40</f>
        <v>0</v>
      </c>
      <c r="E17" s="162">
        <v>13</v>
      </c>
      <c r="F17" s="162">
        <f t="shared" si="5"/>
        <v>30.76923076923077</v>
      </c>
      <c r="G17" s="162">
        <f t="shared" si="6"/>
        <v>0</v>
      </c>
      <c r="H17" s="142">
        <f t="shared" si="7"/>
        <v>0</v>
      </c>
      <c r="I17" s="42">
        <v>66</v>
      </c>
      <c r="J17" s="143">
        <f t="shared" si="8"/>
        <v>0</v>
      </c>
      <c r="K17" s="42">
        <f t="shared" si="9"/>
        <v>0</v>
      </c>
      <c r="L17" s="57" t="s">
        <v>222</v>
      </c>
      <c r="M17" s="112"/>
      <c r="R17" s="34"/>
    </row>
    <row r="18" spans="1:18" ht="30" customHeight="1">
      <c r="A18" s="766" t="s">
        <v>213</v>
      </c>
      <c r="B18" s="766"/>
      <c r="C18" s="154"/>
      <c r="D18" s="155"/>
      <c r="E18" s="156"/>
      <c r="F18" s="157"/>
      <c r="G18" s="158">
        <f>SUM(G14:G17)</f>
        <v>0</v>
      </c>
      <c r="H18" s="156">
        <f>SUM(H14:H17)</f>
        <v>0</v>
      </c>
      <c r="I18" s="159"/>
      <c r="J18" s="160">
        <f>SUM(J14:J17)</f>
        <v>0</v>
      </c>
      <c r="K18" s="767" t="s">
        <v>225</v>
      </c>
      <c r="L18" s="767"/>
      <c r="M18" s="112"/>
      <c r="R18" s="34"/>
    </row>
    <row r="19" spans="1:18" ht="33" customHeight="1">
      <c r="A19" s="765" t="s">
        <v>61</v>
      </c>
      <c r="B19" s="765"/>
      <c r="C19" s="765"/>
      <c r="D19" s="765"/>
      <c r="E19" s="765"/>
      <c r="F19" s="765"/>
      <c r="G19" s="765"/>
      <c r="H19" s="765"/>
      <c r="I19" s="765"/>
      <c r="J19" s="765"/>
      <c r="K19" s="765"/>
      <c r="L19" s="765"/>
    </row>
    <row r="20" spans="1:18" ht="48.75" customHeight="1">
      <c r="A20" s="149" t="s">
        <v>1</v>
      </c>
      <c r="B20" s="147" t="s">
        <v>78</v>
      </c>
      <c r="C20" s="147" t="s">
        <v>3</v>
      </c>
      <c r="D20" s="147" t="s">
        <v>4</v>
      </c>
      <c r="E20" s="147" t="s">
        <v>5</v>
      </c>
      <c r="F20" s="147" t="s">
        <v>6</v>
      </c>
      <c r="G20" s="147" t="s">
        <v>59</v>
      </c>
      <c r="H20" s="147" t="s">
        <v>60</v>
      </c>
      <c r="I20" s="147" t="s">
        <v>9</v>
      </c>
      <c r="J20" s="147" t="s">
        <v>79</v>
      </c>
      <c r="K20" s="148" t="s">
        <v>86</v>
      </c>
      <c r="L20" s="148" t="s">
        <v>12</v>
      </c>
    </row>
    <row r="21" spans="1:18" ht="23.25" customHeight="1">
      <c r="A21" s="37">
        <v>1</v>
      </c>
      <c r="B21" s="187" t="s">
        <v>201</v>
      </c>
      <c r="C21" s="7" t="s">
        <v>14</v>
      </c>
      <c r="D21" s="144">
        <f>D6*1666/100*40</f>
        <v>0</v>
      </c>
      <c r="E21" s="162">
        <v>13</v>
      </c>
      <c r="F21" s="162">
        <f>400/E21</f>
        <v>30.76923076923077</v>
      </c>
      <c r="G21" s="162">
        <f>D21*1/E21</f>
        <v>0</v>
      </c>
      <c r="H21" s="142">
        <f>G21*F21*E21</f>
        <v>0</v>
      </c>
      <c r="I21" s="42">
        <v>66</v>
      </c>
      <c r="J21" s="143">
        <f>G21/I21</f>
        <v>0</v>
      </c>
      <c r="K21" s="42">
        <f>J21*E21</f>
        <v>0</v>
      </c>
      <c r="L21" s="57" t="s">
        <v>223</v>
      </c>
      <c r="M21" s="112"/>
      <c r="R21" s="34"/>
    </row>
    <row r="22" spans="1:18" ht="23.25" customHeight="1">
      <c r="A22" s="37">
        <v>2</v>
      </c>
      <c r="B22" s="187" t="s">
        <v>202</v>
      </c>
      <c r="C22" s="7" t="s">
        <v>14</v>
      </c>
      <c r="D22" s="144">
        <f>D6/100*10*1000/100*40</f>
        <v>0</v>
      </c>
      <c r="E22" s="162">
        <v>13</v>
      </c>
      <c r="F22" s="162">
        <f t="shared" ref="F22:F24" si="10">400/E22</f>
        <v>30.76923076923077</v>
      </c>
      <c r="G22" s="162">
        <f t="shared" ref="G22:G24" si="11">D22*1/E22</f>
        <v>0</v>
      </c>
      <c r="H22" s="142">
        <f t="shared" ref="H22:H24" si="12">G22*F22*E22</f>
        <v>0</v>
      </c>
      <c r="I22" s="42">
        <v>66</v>
      </c>
      <c r="J22" s="143">
        <f t="shared" ref="J22:J24" si="13">G22/I22</f>
        <v>0</v>
      </c>
      <c r="K22" s="42">
        <f t="shared" ref="K22:K24" si="14">J22*E22</f>
        <v>0</v>
      </c>
      <c r="L22" s="57" t="s">
        <v>223</v>
      </c>
      <c r="M22" s="112"/>
      <c r="R22" s="34"/>
    </row>
    <row r="23" spans="1:18" ht="23.25" customHeight="1">
      <c r="A23" s="37">
        <v>3</v>
      </c>
      <c r="B23" s="187" t="s">
        <v>203</v>
      </c>
      <c r="C23" s="7" t="s">
        <v>227</v>
      </c>
      <c r="D23" s="144">
        <f>D6*2/100*40</f>
        <v>0</v>
      </c>
      <c r="E23" s="162">
        <v>0.5</v>
      </c>
      <c r="F23" s="162">
        <f t="shared" si="10"/>
        <v>800</v>
      </c>
      <c r="G23" s="162">
        <f t="shared" si="11"/>
        <v>0</v>
      </c>
      <c r="H23" s="142">
        <f t="shared" si="12"/>
        <v>0</v>
      </c>
      <c r="I23" s="42">
        <v>66</v>
      </c>
      <c r="J23" s="143">
        <f t="shared" si="13"/>
        <v>0</v>
      </c>
      <c r="K23" s="42">
        <f t="shared" si="14"/>
        <v>0</v>
      </c>
      <c r="L23" s="57" t="s">
        <v>223</v>
      </c>
      <c r="M23" s="112"/>
      <c r="R23" s="34"/>
    </row>
    <row r="24" spans="1:18" ht="23.25" customHeight="1">
      <c r="A24" s="37">
        <v>4</v>
      </c>
      <c r="B24" s="187" t="s">
        <v>204</v>
      </c>
      <c r="C24" s="7" t="s">
        <v>229</v>
      </c>
      <c r="D24" s="144">
        <f>D6*800/100*40</f>
        <v>0</v>
      </c>
      <c r="E24" s="162">
        <v>13</v>
      </c>
      <c r="F24" s="162">
        <f t="shared" si="10"/>
        <v>30.76923076923077</v>
      </c>
      <c r="G24" s="162">
        <f t="shared" si="11"/>
        <v>0</v>
      </c>
      <c r="H24" s="142">
        <f t="shared" si="12"/>
        <v>0</v>
      </c>
      <c r="I24" s="42">
        <v>66</v>
      </c>
      <c r="J24" s="143">
        <f t="shared" si="13"/>
        <v>0</v>
      </c>
      <c r="K24" s="42">
        <f t="shared" si="14"/>
        <v>0</v>
      </c>
      <c r="L24" s="57" t="s">
        <v>223</v>
      </c>
      <c r="M24" s="112"/>
      <c r="R24" s="34"/>
    </row>
    <row r="25" spans="1:18" ht="33" customHeight="1">
      <c r="A25" s="766" t="s">
        <v>214</v>
      </c>
      <c r="B25" s="766"/>
      <c r="C25" s="154"/>
      <c r="D25" s="155"/>
      <c r="E25" s="156"/>
      <c r="F25" s="157"/>
      <c r="G25" s="158">
        <f>SUM(G21:G24)</f>
        <v>0</v>
      </c>
      <c r="H25" s="156">
        <f>SUM(H21:H24)</f>
        <v>0</v>
      </c>
      <c r="I25" s="159"/>
      <c r="J25" s="160">
        <f>SUM(J21:J24)</f>
        <v>0</v>
      </c>
      <c r="K25" s="767" t="s">
        <v>226</v>
      </c>
      <c r="L25" s="767"/>
      <c r="M25" s="112"/>
      <c r="R25" s="34"/>
    </row>
    <row r="26" spans="1:18" ht="32.25" customHeight="1">
      <c r="A26" s="765" t="s">
        <v>207</v>
      </c>
      <c r="B26" s="765"/>
      <c r="C26" s="765"/>
      <c r="D26" s="765"/>
      <c r="E26" s="765"/>
      <c r="F26" s="765"/>
      <c r="G26" s="765"/>
      <c r="H26" s="765"/>
      <c r="I26" s="765"/>
      <c r="J26" s="765"/>
      <c r="K26" s="765"/>
      <c r="L26" s="765"/>
      <c r="M26" s="43"/>
      <c r="N26" s="43"/>
    </row>
    <row r="27" spans="1:18" ht="45" customHeight="1">
      <c r="A27" s="149" t="s">
        <v>1</v>
      </c>
      <c r="B27" s="147" t="s">
        <v>78</v>
      </c>
      <c r="C27" s="147" t="s">
        <v>3</v>
      </c>
      <c r="D27" s="147" t="s">
        <v>4</v>
      </c>
      <c r="E27" s="147" t="s">
        <v>5</v>
      </c>
      <c r="F27" s="147" t="s">
        <v>6</v>
      </c>
      <c r="G27" s="147" t="s">
        <v>59</v>
      </c>
      <c r="H27" s="147" t="s">
        <v>60</v>
      </c>
      <c r="I27" s="147" t="s">
        <v>9</v>
      </c>
      <c r="J27" s="147" t="s">
        <v>79</v>
      </c>
      <c r="K27" s="148" t="s">
        <v>86</v>
      </c>
      <c r="L27" s="148" t="s">
        <v>12</v>
      </c>
    </row>
    <row r="28" spans="1:18" ht="23.25" customHeight="1">
      <c r="A28" s="37">
        <v>1</v>
      </c>
      <c r="B28" s="187" t="s">
        <v>205</v>
      </c>
      <c r="C28" s="7" t="s">
        <v>28</v>
      </c>
      <c r="D28" s="166">
        <f>D6*800</f>
        <v>0</v>
      </c>
      <c r="E28" s="162">
        <v>50</v>
      </c>
      <c r="F28" s="162">
        <f>400/E28</f>
        <v>8</v>
      </c>
      <c r="G28" s="162">
        <f>D28*1/E28</f>
        <v>0</v>
      </c>
      <c r="H28" s="162">
        <f>G28*F28*E28</f>
        <v>0</v>
      </c>
      <c r="I28" s="162">
        <v>22</v>
      </c>
      <c r="J28" s="162">
        <f>G28/I28</f>
        <v>0</v>
      </c>
      <c r="K28" s="162">
        <f>J28*E28</f>
        <v>0</v>
      </c>
      <c r="L28" s="57" t="s">
        <v>224</v>
      </c>
      <c r="M28" s="112"/>
      <c r="R28" s="34"/>
    </row>
    <row r="29" spans="1:18" ht="23.25" customHeight="1">
      <c r="A29" s="37">
        <v>2</v>
      </c>
      <c r="B29" s="187" t="s">
        <v>206</v>
      </c>
      <c r="C29" s="7" t="s">
        <v>219</v>
      </c>
      <c r="D29" s="166">
        <f>D6</f>
        <v>0</v>
      </c>
      <c r="E29" s="162">
        <v>10</v>
      </c>
      <c r="F29" s="162">
        <f t="shared" ref="F29:F31" si="15">400/E29</f>
        <v>40</v>
      </c>
      <c r="G29" s="162">
        <f t="shared" ref="G29:G31" si="16">D29*1/E29</f>
        <v>0</v>
      </c>
      <c r="H29" s="162">
        <f t="shared" ref="H29:H31" si="17">G29*F29*E29</f>
        <v>0</v>
      </c>
      <c r="I29" s="162">
        <v>22</v>
      </c>
      <c r="J29" s="162">
        <f t="shared" ref="J29:J31" si="18">G29/I29</f>
        <v>0</v>
      </c>
      <c r="K29" s="162">
        <f t="shared" ref="K29:K31" si="19">J29*E29</f>
        <v>0</v>
      </c>
      <c r="L29" s="57" t="s">
        <v>224</v>
      </c>
      <c r="M29" s="112"/>
      <c r="R29" s="34"/>
    </row>
    <row r="30" spans="1:18" ht="23.25" customHeight="1">
      <c r="A30" s="37">
        <v>3</v>
      </c>
      <c r="B30" s="187" t="s">
        <v>216</v>
      </c>
      <c r="C30" s="7" t="s">
        <v>219</v>
      </c>
      <c r="D30" s="166">
        <f>D6/100*10</f>
        <v>0</v>
      </c>
      <c r="E30" s="162">
        <v>1</v>
      </c>
      <c r="F30" s="162">
        <f t="shared" si="15"/>
        <v>400</v>
      </c>
      <c r="G30" s="162">
        <f t="shared" si="16"/>
        <v>0</v>
      </c>
      <c r="H30" s="162">
        <f t="shared" si="17"/>
        <v>0</v>
      </c>
      <c r="I30" s="162">
        <v>22</v>
      </c>
      <c r="J30" s="162">
        <f t="shared" si="18"/>
        <v>0</v>
      </c>
      <c r="K30" s="162">
        <f t="shared" si="19"/>
        <v>0</v>
      </c>
      <c r="L30" s="57" t="s">
        <v>224</v>
      </c>
      <c r="M30" s="112"/>
      <c r="R30" s="34"/>
    </row>
    <row r="31" spans="1:18" ht="23.25" customHeight="1">
      <c r="A31" s="37">
        <v>4</v>
      </c>
      <c r="B31" s="187" t="s">
        <v>230</v>
      </c>
      <c r="C31" s="7"/>
      <c r="D31" s="166">
        <f>D28</f>
        <v>0</v>
      </c>
      <c r="E31" s="162">
        <v>250</v>
      </c>
      <c r="F31" s="162">
        <f t="shared" si="15"/>
        <v>1.6</v>
      </c>
      <c r="G31" s="162">
        <f t="shared" si="16"/>
        <v>0</v>
      </c>
      <c r="H31" s="162">
        <f t="shared" si="17"/>
        <v>0</v>
      </c>
      <c r="I31" s="162">
        <v>22</v>
      </c>
      <c r="J31" s="162">
        <f t="shared" si="18"/>
        <v>0</v>
      </c>
      <c r="K31" s="162">
        <f t="shared" si="19"/>
        <v>0</v>
      </c>
      <c r="L31" s="57"/>
      <c r="M31" s="112"/>
      <c r="R31" s="34"/>
    </row>
    <row r="32" spans="1:18" ht="35.25" customHeight="1">
      <c r="A32" s="766" t="s">
        <v>208</v>
      </c>
      <c r="B32" s="766"/>
      <c r="C32" s="161"/>
      <c r="D32" s="161"/>
      <c r="E32" s="161"/>
      <c r="F32" s="163"/>
      <c r="G32" s="163">
        <f>SUM(G28:G30)</f>
        <v>0</v>
      </c>
      <c r="H32" s="163">
        <f>SUM(H28:H31)</f>
        <v>0</v>
      </c>
      <c r="I32" s="164"/>
      <c r="J32" s="165">
        <f>SUM(J28:J31)</f>
        <v>0</v>
      </c>
      <c r="K32" s="766" t="s">
        <v>231</v>
      </c>
      <c r="L32" s="766"/>
      <c r="M32" s="112"/>
      <c r="R32" s="34"/>
    </row>
    <row r="33" spans="1:12" ht="28.5" customHeight="1">
      <c r="A33" s="726" t="s">
        <v>233</v>
      </c>
      <c r="B33" s="726"/>
      <c r="C33" s="69"/>
      <c r="D33" s="70"/>
      <c r="E33" s="70"/>
      <c r="F33" s="70"/>
      <c r="G33" s="71"/>
      <c r="H33" s="71">
        <f>H11+H18+H25+H32</f>
        <v>0</v>
      </c>
      <c r="I33" s="71"/>
      <c r="J33" s="71"/>
      <c r="K33" s="183"/>
      <c r="L33" s="184"/>
    </row>
    <row r="34" spans="1:12" ht="24" customHeight="1">
      <c r="A34" s="727" t="s">
        <v>234</v>
      </c>
      <c r="B34" s="727"/>
      <c r="C34" s="178"/>
      <c r="D34" s="179"/>
      <c r="E34" s="179"/>
      <c r="F34" s="179"/>
      <c r="G34" s="180"/>
      <c r="H34" s="180">
        <f>H33/68</f>
        <v>0</v>
      </c>
      <c r="I34" s="180"/>
      <c r="J34" s="180"/>
      <c r="K34" s="181"/>
      <c r="L34" s="182"/>
    </row>
    <row r="35" spans="1:12" s="244" customFormat="1" ht="26.25" customHeight="1">
      <c r="A35" s="764" t="s">
        <v>218</v>
      </c>
      <c r="B35" s="764"/>
      <c r="D35" s="68" t="s">
        <v>44</v>
      </c>
      <c r="E35" s="68" t="s">
        <v>217</v>
      </c>
      <c r="F35" s="176"/>
      <c r="G35" s="176"/>
      <c r="J35" s="68"/>
      <c r="L35" s="177"/>
    </row>
    <row r="36" spans="1:12" s="244" customFormat="1" ht="26.25" customHeight="1">
      <c r="A36" s="176" t="s">
        <v>236</v>
      </c>
      <c r="B36" s="247"/>
      <c r="C36" s="248"/>
      <c r="D36" s="68"/>
      <c r="F36" s="243" t="s">
        <v>238</v>
      </c>
      <c r="G36" s="176"/>
      <c r="J36" s="243"/>
      <c r="L36" s="177"/>
    </row>
    <row r="37" spans="1:12" s="244" customFormat="1" ht="26.25" customHeight="1">
      <c r="A37" s="248"/>
      <c r="B37" s="249"/>
      <c r="D37" s="133"/>
      <c r="F37" s="132"/>
      <c r="G37" s="248" t="s">
        <v>198</v>
      </c>
      <c r="J37" s="248"/>
      <c r="K37" s="250"/>
      <c r="L37" s="68"/>
    </row>
    <row r="38" spans="1:12" s="244" customFormat="1" ht="26.25" customHeight="1">
      <c r="A38" s="248"/>
      <c r="B38" s="249"/>
      <c r="D38" s="133"/>
      <c r="F38" s="132"/>
      <c r="G38" s="132"/>
      <c r="H38" s="244" t="s">
        <v>199</v>
      </c>
      <c r="K38" s="250"/>
      <c r="L38" s="68"/>
    </row>
    <row r="39" spans="1:12" s="244" customFormat="1" ht="26.25" customHeight="1">
      <c r="A39" s="248" t="s">
        <v>89</v>
      </c>
      <c r="B39" s="249"/>
      <c r="C39" s="243" t="s">
        <v>200</v>
      </c>
      <c r="G39" s="251" t="s">
        <v>48</v>
      </c>
      <c r="K39" s="68" t="s">
        <v>49</v>
      </c>
      <c r="L39" s="251"/>
    </row>
    <row r="40" spans="1:12" s="244" customFormat="1" ht="26.25" customHeight="1">
      <c r="B40" s="252"/>
      <c r="C40" s="244" t="s">
        <v>52</v>
      </c>
      <c r="G40" s="244" t="s">
        <v>53</v>
      </c>
      <c r="K40" s="137" t="s">
        <v>54</v>
      </c>
      <c r="L40" s="253" t="s">
        <v>81</v>
      </c>
    </row>
  </sheetData>
  <mergeCells count="18">
    <mergeCell ref="A1:L1"/>
    <mergeCell ref="A2:L2"/>
    <mergeCell ref="A3:L3"/>
    <mergeCell ref="A4:L4"/>
    <mergeCell ref="A11:C11"/>
    <mergeCell ref="K11:L11"/>
    <mergeCell ref="A35:B35"/>
    <mergeCell ref="A12:L12"/>
    <mergeCell ref="A18:B18"/>
    <mergeCell ref="K18:L18"/>
    <mergeCell ref="A19:L19"/>
    <mergeCell ref="A25:B25"/>
    <mergeCell ref="K25:L25"/>
    <mergeCell ref="A26:L26"/>
    <mergeCell ref="A32:B32"/>
    <mergeCell ref="K32:L32"/>
    <mergeCell ref="A33:B33"/>
    <mergeCell ref="A34:B34"/>
  </mergeCells>
  <printOptions horizontalCentered="1"/>
  <pageMargins left="0.35" right="0.36" top="0.32" bottom="0.28999999999999998" header="0.17" footer="0.18"/>
  <pageSetup paperSize="9" scale="4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6"/>
  <sheetViews>
    <sheetView rightToLeft="1" view="pageBreakPreview" topLeftCell="A22" zoomScale="60" workbookViewId="0">
      <selection activeCell="G33" sqref="G33"/>
    </sheetView>
  </sheetViews>
  <sheetFormatPr defaultColWidth="9.125" defaultRowHeight="15"/>
  <cols>
    <col min="1" max="1" width="7" style="120" customWidth="1"/>
    <col min="2" max="2" width="48.25" style="120" customWidth="1"/>
    <col min="3" max="3" width="13.875" style="120" customWidth="1"/>
    <col min="4" max="11" width="18.375" style="120" customWidth="1"/>
    <col min="12" max="12" width="48.375" style="120" customWidth="1"/>
    <col min="13" max="13" width="10.75" style="120" bestFit="1" customWidth="1"/>
    <col min="14" max="14" width="17.625" style="120" customWidth="1"/>
    <col min="15" max="15" width="17" style="120" customWidth="1"/>
    <col min="16" max="16" width="24.125" style="120" customWidth="1"/>
    <col min="17" max="17" width="9.125" style="120"/>
    <col min="18" max="18" width="11.75" style="120" customWidth="1"/>
    <col min="19" max="19" width="9.125" style="120"/>
    <col min="20" max="20" width="13.375" style="120" customWidth="1"/>
    <col min="21" max="16384" width="9.125" style="120"/>
  </cols>
  <sheetData>
    <row r="1" spans="1:18" ht="60.75" customHeight="1">
      <c r="A1" s="750" t="s">
        <v>282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</row>
    <row r="2" spans="1:18" ht="27.75" customHeight="1">
      <c r="A2" s="751" t="s">
        <v>215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N2" s="34"/>
    </row>
    <row r="3" spans="1:18" s="141" customFormat="1" ht="32.25" customHeight="1">
      <c r="A3" s="771" t="s">
        <v>209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</row>
    <row r="4" spans="1:18" s="141" customFormat="1" ht="38.25" customHeight="1">
      <c r="A4" s="145" t="s">
        <v>1</v>
      </c>
      <c r="B4" s="146" t="s">
        <v>78</v>
      </c>
      <c r="C4" s="146" t="s">
        <v>3</v>
      </c>
      <c r="D4" s="147" t="s">
        <v>4</v>
      </c>
      <c r="E4" s="147" t="s">
        <v>5</v>
      </c>
      <c r="F4" s="147" t="s">
        <v>6</v>
      </c>
      <c r="G4" s="147" t="s">
        <v>59</v>
      </c>
      <c r="H4" s="147" t="s">
        <v>8</v>
      </c>
      <c r="I4" s="147" t="s">
        <v>210</v>
      </c>
      <c r="J4" s="147" t="s">
        <v>211</v>
      </c>
      <c r="K4" s="147" t="s">
        <v>212</v>
      </c>
      <c r="L4" s="147" t="s">
        <v>12</v>
      </c>
    </row>
    <row r="5" spans="1:18" s="141" customFormat="1" ht="30" customHeight="1">
      <c r="A5" s="188"/>
      <c r="B5" s="189" t="s">
        <v>237</v>
      </c>
      <c r="C5" s="189" t="s">
        <v>41</v>
      </c>
      <c r="D5" s="185">
        <v>150</v>
      </c>
      <c r="E5" s="185"/>
      <c r="F5" s="185"/>
      <c r="G5" s="185"/>
      <c r="H5" s="185"/>
      <c r="I5" s="185"/>
      <c r="J5" s="185"/>
      <c r="K5" s="185"/>
      <c r="L5" s="185"/>
    </row>
    <row r="6" spans="1:18" s="44" customFormat="1" ht="30" customHeight="1">
      <c r="A6" s="32">
        <v>1</v>
      </c>
      <c r="B6" s="187" t="s">
        <v>201</v>
      </c>
      <c r="C6" s="142" t="s">
        <v>228</v>
      </c>
      <c r="D6" s="144">
        <f>D5*1666/100*10</f>
        <v>24990</v>
      </c>
      <c r="E6" s="162">
        <v>17</v>
      </c>
      <c r="F6" s="162">
        <f>400/E6</f>
        <v>23.529411764705884</v>
      </c>
      <c r="G6" s="162">
        <f>D6*1/E6</f>
        <v>1470</v>
      </c>
      <c r="H6" s="142">
        <f>G6*F6*E6</f>
        <v>588000</v>
      </c>
      <c r="I6" s="42">
        <v>22</v>
      </c>
      <c r="J6" s="143">
        <f>G6/I6</f>
        <v>66.818181818181813</v>
      </c>
      <c r="K6" s="42">
        <f>J6*E6</f>
        <v>1135.9090909090908</v>
      </c>
      <c r="L6" s="113"/>
    </row>
    <row r="7" spans="1:18" s="44" customFormat="1" ht="30" customHeight="1">
      <c r="A7" s="32">
        <v>2</v>
      </c>
      <c r="B7" s="187" t="s">
        <v>202</v>
      </c>
      <c r="C7" s="142" t="s">
        <v>14</v>
      </c>
      <c r="D7" s="144">
        <f>D5/100*5*1000/100*10</f>
        <v>750</v>
      </c>
      <c r="E7" s="162">
        <v>17</v>
      </c>
      <c r="F7" s="162">
        <f t="shared" ref="F7:F9" si="0">400/E7</f>
        <v>23.529411764705884</v>
      </c>
      <c r="G7" s="162">
        <f t="shared" ref="G7:G9" si="1">D7*1/E7</f>
        <v>44.117647058823529</v>
      </c>
      <c r="H7" s="42">
        <f t="shared" ref="H7:H9" si="2">G7*F7*E7</f>
        <v>17647.058823529413</v>
      </c>
      <c r="I7" s="42">
        <v>22</v>
      </c>
      <c r="J7" s="143">
        <f t="shared" ref="J7:J9" si="3">G7/I7</f>
        <v>2.0053475935828877</v>
      </c>
      <c r="K7" s="42">
        <f t="shared" ref="K7:K9" si="4">J7*E7</f>
        <v>34.090909090909093</v>
      </c>
      <c r="L7" s="113"/>
    </row>
    <row r="8" spans="1:18" s="44" customFormat="1" ht="30" customHeight="1">
      <c r="A8" s="32">
        <v>3</v>
      </c>
      <c r="B8" s="187" t="s">
        <v>203</v>
      </c>
      <c r="C8" s="142" t="s">
        <v>227</v>
      </c>
      <c r="D8" s="144">
        <f>D5/100*10</f>
        <v>15</v>
      </c>
      <c r="E8" s="162">
        <v>0.5</v>
      </c>
      <c r="F8" s="162">
        <f t="shared" si="0"/>
        <v>800</v>
      </c>
      <c r="G8" s="162">
        <f t="shared" si="1"/>
        <v>30</v>
      </c>
      <c r="H8" s="42">
        <f t="shared" si="2"/>
        <v>12000</v>
      </c>
      <c r="I8" s="42">
        <v>22</v>
      </c>
      <c r="J8" s="143">
        <f t="shared" si="3"/>
        <v>1.3636363636363635</v>
      </c>
      <c r="K8" s="42">
        <f t="shared" si="4"/>
        <v>0.68181818181818177</v>
      </c>
      <c r="L8" s="113"/>
    </row>
    <row r="9" spans="1:18" s="44" customFormat="1" ht="30" customHeight="1">
      <c r="A9" s="32">
        <v>4</v>
      </c>
      <c r="B9" s="187" t="s">
        <v>204</v>
      </c>
      <c r="C9" s="142" t="s">
        <v>229</v>
      </c>
      <c r="D9" s="144">
        <f>D5*800/100*10</f>
        <v>12000</v>
      </c>
      <c r="E9" s="162">
        <v>17</v>
      </c>
      <c r="F9" s="162">
        <f t="shared" si="0"/>
        <v>23.529411764705884</v>
      </c>
      <c r="G9" s="162">
        <f t="shared" si="1"/>
        <v>705.88235294117646</v>
      </c>
      <c r="H9" s="42">
        <f t="shared" si="2"/>
        <v>282352.9411764706</v>
      </c>
      <c r="I9" s="42">
        <v>22</v>
      </c>
      <c r="J9" s="143">
        <f t="shared" si="3"/>
        <v>32.085561497326204</v>
      </c>
      <c r="K9" s="42">
        <f t="shared" si="4"/>
        <v>545.4545454545455</v>
      </c>
      <c r="L9" s="139"/>
    </row>
    <row r="10" spans="1:18" s="44" customFormat="1" ht="30" customHeight="1">
      <c r="A10" s="772" t="s">
        <v>220</v>
      </c>
      <c r="B10" s="772"/>
      <c r="C10" s="772"/>
      <c r="D10" s="150"/>
      <c r="E10" s="151"/>
      <c r="F10" s="151"/>
      <c r="G10" s="186">
        <f>SUM(G6:G9)</f>
        <v>2250</v>
      </c>
      <c r="H10" s="186">
        <f>SUM(H6:H9)</f>
        <v>900000</v>
      </c>
      <c r="I10" s="186"/>
      <c r="J10" s="152">
        <f>SUM(J6:J9)</f>
        <v>102.27272727272725</v>
      </c>
      <c r="K10" s="773"/>
      <c r="L10" s="773"/>
    </row>
    <row r="11" spans="1:18" ht="37.5" customHeight="1">
      <c r="A11" s="765" t="s">
        <v>149</v>
      </c>
      <c r="B11" s="765"/>
      <c r="C11" s="765"/>
      <c r="D11" s="765"/>
      <c r="E11" s="765"/>
      <c r="F11" s="765"/>
      <c r="G11" s="765"/>
      <c r="H11" s="765"/>
      <c r="I11" s="765"/>
      <c r="J11" s="765"/>
      <c r="K11" s="765"/>
      <c r="L11" s="765"/>
    </row>
    <row r="12" spans="1:18" ht="36" customHeight="1">
      <c r="A12" s="149" t="s">
        <v>1</v>
      </c>
      <c r="B12" s="147" t="s">
        <v>78</v>
      </c>
      <c r="C12" s="147" t="s">
        <v>3</v>
      </c>
      <c r="D12" s="147" t="s">
        <v>4</v>
      </c>
      <c r="E12" s="147" t="s">
        <v>5</v>
      </c>
      <c r="F12" s="147" t="s">
        <v>6</v>
      </c>
      <c r="G12" s="147" t="s">
        <v>59</v>
      </c>
      <c r="H12" s="147" t="s">
        <v>60</v>
      </c>
      <c r="I12" s="147" t="s">
        <v>9</v>
      </c>
      <c r="J12" s="147" t="s">
        <v>79</v>
      </c>
      <c r="K12" s="148" t="s">
        <v>86</v>
      </c>
      <c r="L12" s="148" t="s">
        <v>12</v>
      </c>
    </row>
    <row r="13" spans="1:18" ht="26.25" customHeight="1">
      <c r="A13" s="37">
        <v>1</v>
      </c>
      <c r="B13" s="187" t="s">
        <v>201</v>
      </c>
      <c r="C13" s="7" t="s">
        <v>14</v>
      </c>
      <c r="D13" s="144">
        <f>D5*1666/100*45</f>
        <v>112455</v>
      </c>
      <c r="E13" s="162">
        <v>17</v>
      </c>
      <c r="F13" s="162">
        <f>400/E13</f>
        <v>23.529411764705884</v>
      </c>
      <c r="G13" s="162">
        <f>D13*1/E13</f>
        <v>6615</v>
      </c>
      <c r="H13" s="142">
        <f>G13*F13*E13</f>
        <v>2646000.0000000005</v>
      </c>
      <c r="I13" s="42">
        <v>66</v>
      </c>
      <c r="J13" s="143">
        <f>G13/I13</f>
        <v>100.22727272727273</v>
      </c>
      <c r="K13" s="42">
        <f>J13*E13</f>
        <v>1703.8636363636365</v>
      </c>
      <c r="L13" s="57"/>
      <c r="M13" s="112"/>
      <c r="R13" s="34"/>
    </row>
    <row r="14" spans="1:18" ht="26.25" customHeight="1">
      <c r="A14" s="37">
        <v>2</v>
      </c>
      <c r="B14" s="187" t="s">
        <v>202</v>
      </c>
      <c r="C14" s="7" t="s">
        <v>14</v>
      </c>
      <c r="D14" s="144">
        <f>D5/100*5*1000/100*45</f>
        <v>3375</v>
      </c>
      <c r="E14" s="162">
        <v>17</v>
      </c>
      <c r="F14" s="162">
        <f t="shared" ref="F14:F16" si="5">400/E14</f>
        <v>23.529411764705884</v>
      </c>
      <c r="G14" s="162">
        <f t="shared" ref="G14:G16" si="6">D14*1/E14</f>
        <v>198.52941176470588</v>
      </c>
      <c r="H14" s="142">
        <f t="shared" ref="H14:H16" si="7">G14*F14*E14</f>
        <v>79411.764705882364</v>
      </c>
      <c r="I14" s="42">
        <v>66</v>
      </c>
      <c r="J14" s="143">
        <f t="shared" ref="J14:J16" si="8">G14/I14</f>
        <v>3.0080213903743314</v>
      </c>
      <c r="K14" s="42">
        <f t="shared" ref="K14:K16" si="9">J14*E14</f>
        <v>51.136363636363633</v>
      </c>
      <c r="L14" s="57"/>
      <c r="M14" s="112"/>
      <c r="R14" s="34"/>
    </row>
    <row r="15" spans="1:18" ht="26.25" customHeight="1">
      <c r="A15" s="37">
        <v>3</v>
      </c>
      <c r="B15" s="187" t="s">
        <v>203</v>
      </c>
      <c r="C15" s="7" t="s">
        <v>227</v>
      </c>
      <c r="D15" s="144">
        <f>D5/100*45</f>
        <v>67.5</v>
      </c>
      <c r="E15" s="162">
        <v>0.5</v>
      </c>
      <c r="F15" s="162">
        <f t="shared" si="5"/>
        <v>800</v>
      </c>
      <c r="G15" s="162">
        <f t="shared" si="6"/>
        <v>135</v>
      </c>
      <c r="H15" s="142">
        <f t="shared" si="7"/>
        <v>54000</v>
      </c>
      <c r="I15" s="42">
        <v>66</v>
      </c>
      <c r="J15" s="143">
        <f t="shared" si="8"/>
        <v>2.0454545454545454</v>
      </c>
      <c r="K15" s="42">
        <f t="shared" si="9"/>
        <v>1.0227272727272727</v>
      </c>
      <c r="L15" s="57"/>
      <c r="M15" s="112"/>
      <c r="R15" s="34"/>
    </row>
    <row r="16" spans="1:18" ht="26.25" customHeight="1">
      <c r="A16" s="37">
        <v>4</v>
      </c>
      <c r="B16" s="187" t="s">
        <v>204</v>
      </c>
      <c r="C16" s="7" t="s">
        <v>229</v>
      </c>
      <c r="D16" s="144">
        <f>D5*800/100*45</f>
        <v>54000</v>
      </c>
      <c r="E16" s="162">
        <v>17</v>
      </c>
      <c r="F16" s="162">
        <f t="shared" si="5"/>
        <v>23.529411764705884</v>
      </c>
      <c r="G16" s="162">
        <f t="shared" si="6"/>
        <v>3176.4705882352941</v>
      </c>
      <c r="H16" s="142">
        <f t="shared" si="7"/>
        <v>1270588.2352941178</v>
      </c>
      <c r="I16" s="42">
        <v>66</v>
      </c>
      <c r="J16" s="143">
        <f t="shared" si="8"/>
        <v>48.128342245989302</v>
      </c>
      <c r="K16" s="42">
        <f t="shared" si="9"/>
        <v>818.18181818181813</v>
      </c>
      <c r="L16" s="57"/>
      <c r="M16" s="112"/>
      <c r="R16" s="34"/>
    </row>
    <row r="17" spans="1:18" ht="26.25" customHeight="1">
      <c r="A17" s="766" t="s">
        <v>213</v>
      </c>
      <c r="B17" s="766"/>
      <c r="C17" s="154"/>
      <c r="D17" s="155"/>
      <c r="E17" s="156"/>
      <c r="F17" s="157"/>
      <c r="G17" s="158">
        <f>SUM(G13:G16)</f>
        <v>10125</v>
      </c>
      <c r="H17" s="156">
        <f>SUM(H13:H16)</f>
        <v>4050000.0000000009</v>
      </c>
      <c r="I17" s="159"/>
      <c r="J17" s="160">
        <f>SUM(J13:J16)</f>
        <v>153.40909090909093</v>
      </c>
      <c r="K17" s="767"/>
      <c r="L17" s="767"/>
      <c r="M17" s="112"/>
      <c r="R17" s="34"/>
    </row>
    <row r="18" spans="1:18" ht="26.25" customHeight="1">
      <c r="A18" s="765" t="s">
        <v>61</v>
      </c>
      <c r="B18" s="765"/>
      <c r="C18" s="765"/>
      <c r="D18" s="765"/>
      <c r="E18" s="765"/>
      <c r="F18" s="765"/>
      <c r="G18" s="765"/>
      <c r="H18" s="765"/>
      <c r="I18" s="765"/>
      <c r="J18" s="765"/>
      <c r="K18" s="765"/>
      <c r="L18" s="765"/>
    </row>
    <row r="19" spans="1:18" ht="48.75" customHeight="1">
      <c r="A19" s="149" t="s">
        <v>1</v>
      </c>
      <c r="B19" s="147" t="s">
        <v>78</v>
      </c>
      <c r="C19" s="147" t="s">
        <v>3</v>
      </c>
      <c r="D19" s="147" t="s">
        <v>4</v>
      </c>
      <c r="E19" s="147" t="s">
        <v>5</v>
      </c>
      <c r="F19" s="147" t="s">
        <v>6</v>
      </c>
      <c r="G19" s="147" t="s">
        <v>59</v>
      </c>
      <c r="H19" s="147" t="s">
        <v>60</v>
      </c>
      <c r="I19" s="147" t="s">
        <v>9</v>
      </c>
      <c r="J19" s="147" t="s">
        <v>79</v>
      </c>
      <c r="K19" s="148" t="s">
        <v>86</v>
      </c>
      <c r="L19" s="148" t="s">
        <v>12</v>
      </c>
    </row>
    <row r="20" spans="1:18" ht="23.25" customHeight="1">
      <c r="A20" s="37">
        <v>1</v>
      </c>
      <c r="B20" s="187" t="s">
        <v>201</v>
      </c>
      <c r="C20" s="7" t="s">
        <v>14</v>
      </c>
      <c r="D20" s="144">
        <f>D5*1666/100*45</f>
        <v>112455</v>
      </c>
      <c r="E20" s="162">
        <v>17</v>
      </c>
      <c r="F20" s="162">
        <f>400/E20</f>
        <v>23.529411764705884</v>
      </c>
      <c r="G20" s="162">
        <f>D20*1/E20</f>
        <v>6615</v>
      </c>
      <c r="H20" s="142">
        <f>G20*F20*E20</f>
        <v>2646000.0000000005</v>
      </c>
      <c r="I20" s="42">
        <v>66</v>
      </c>
      <c r="J20" s="143">
        <f>G20/I20</f>
        <v>100.22727272727273</v>
      </c>
      <c r="K20" s="42">
        <f>J20*E20</f>
        <v>1703.8636363636365</v>
      </c>
      <c r="L20" s="57"/>
      <c r="M20" s="112"/>
      <c r="R20" s="34"/>
    </row>
    <row r="21" spans="1:18" ht="23.25" customHeight="1">
      <c r="A21" s="37">
        <v>2</v>
      </c>
      <c r="B21" s="187" t="s">
        <v>202</v>
      </c>
      <c r="C21" s="7" t="s">
        <v>14</v>
      </c>
      <c r="D21" s="144">
        <f>D5/100*5*1000/100*45</f>
        <v>3375</v>
      </c>
      <c r="E21" s="162">
        <v>17</v>
      </c>
      <c r="F21" s="162">
        <f t="shared" ref="F21:F23" si="10">400/E21</f>
        <v>23.529411764705884</v>
      </c>
      <c r="G21" s="162">
        <f t="shared" ref="G21:G23" si="11">D21*1/E21</f>
        <v>198.52941176470588</v>
      </c>
      <c r="H21" s="142">
        <f t="shared" ref="H21:H23" si="12">G21*F21*E21</f>
        <v>79411.764705882364</v>
      </c>
      <c r="I21" s="42">
        <v>66</v>
      </c>
      <c r="J21" s="143">
        <f t="shared" ref="J21:J23" si="13">G21/I21</f>
        <v>3.0080213903743314</v>
      </c>
      <c r="K21" s="42">
        <f t="shared" ref="K21:K23" si="14">J21*E21</f>
        <v>51.136363636363633</v>
      </c>
      <c r="L21" s="57"/>
      <c r="M21" s="112"/>
      <c r="R21" s="34"/>
    </row>
    <row r="22" spans="1:18" ht="23.25" customHeight="1">
      <c r="A22" s="37">
        <v>3</v>
      </c>
      <c r="B22" s="187" t="s">
        <v>203</v>
      </c>
      <c r="C22" s="7" t="s">
        <v>227</v>
      </c>
      <c r="D22" s="144">
        <f>D5/100*45</f>
        <v>67.5</v>
      </c>
      <c r="E22" s="162">
        <v>0.5</v>
      </c>
      <c r="F22" s="162">
        <f t="shared" si="10"/>
        <v>800</v>
      </c>
      <c r="G22" s="162">
        <f t="shared" si="11"/>
        <v>135</v>
      </c>
      <c r="H22" s="142">
        <f t="shared" si="12"/>
        <v>54000</v>
      </c>
      <c r="I22" s="42">
        <v>66</v>
      </c>
      <c r="J22" s="143">
        <f t="shared" si="13"/>
        <v>2.0454545454545454</v>
      </c>
      <c r="K22" s="42">
        <f t="shared" si="14"/>
        <v>1.0227272727272727</v>
      </c>
      <c r="L22" s="57"/>
      <c r="M22" s="112"/>
      <c r="R22" s="34"/>
    </row>
    <row r="23" spans="1:18" ht="23.25" customHeight="1">
      <c r="A23" s="37">
        <v>4</v>
      </c>
      <c r="B23" s="187" t="s">
        <v>204</v>
      </c>
      <c r="C23" s="7" t="s">
        <v>229</v>
      </c>
      <c r="D23" s="144">
        <f>D5*800/100*45</f>
        <v>54000</v>
      </c>
      <c r="E23" s="162">
        <v>17</v>
      </c>
      <c r="F23" s="162">
        <f t="shared" si="10"/>
        <v>23.529411764705884</v>
      </c>
      <c r="G23" s="162">
        <f t="shared" si="11"/>
        <v>3176.4705882352941</v>
      </c>
      <c r="H23" s="142">
        <f t="shared" si="12"/>
        <v>1270588.2352941178</v>
      </c>
      <c r="I23" s="42">
        <v>66</v>
      </c>
      <c r="J23" s="143">
        <f t="shared" si="13"/>
        <v>48.128342245989302</v>
      </c>
      <c r="K23" s="42">
        <f t="shared" si="14"/>
        <v>818.18181818181813</v>
      </c>
      <c r="L23" s="57"/>
      <c r="M23" s="112"/>
      <c r="R23" s="34"/>
    </row>
    <row r="24" spans="1:18" ht="23.25" customHeight="1">
      <c r="A24" s="766" t="s">
        <v>214</v>
      </c>
      <c r="B24" s="766"/>
      <c r="C24" s="154"/>
      <c r="D24" s="155"/>
      <c r="E24" s="156"/>
      <c r="F24" s="157"/>
      <c r="G24" s="158">
        <f>SUM(G20:G23)</f>
        <v>10125</v>
      </c>
      <c r="H24" s="156">
        <f>SUM(H20:H23)</f>
        <v>4050000.0000000009</v>
      </c>
      <c r="I24" s="159"/>
      <c r="J24" s="160">
        <f>SUM(J20:J23)</f>
        <v>153.40909090909093</v>
      </c>
      <c r="K24" s="767"/>
      <c r="L24" s="767"/>
      <c r="M24" s="112"/>
      <c r="R24" s="34"/>
    </row>
    <row r="25" spans="1:18" ht="32.25" customHeight="1">
      <c r="A25" s="765" t="s">
        <v>207</v>
      </c>
      <c r="B25" s="765"/>
      <c r="C25" s="765"/>
      <c r="D25" s="765"/>
      <c r="E25" s="765"/>
      <c r="F25" s="765"/>
      <c r="G25" s="765"/>
      <c r="H25" s="765"/>
      <c r="I25" s="765"/>
      <c r="J25" s="765"/>
      <c r="K25" s="765"/>
      <c r="L25" s="765"/>
      <c r="M25" s="43"/>
      <c r="N25" s="43"/>
    </row>
    <row r="26" spans="1:18" ht="45" customHeight="1">
      <c r="A26" s="149" t="s">
        <v>1</v>
      </c>
      <c r="B26" s="147" t="s">
        <v>78</v>
      </c>
      <c r="C26" s="147" t="s">
        <v>3</v>
      </c>
      <c r="D26" s="147" t="s">
        <v>4</v>
      </c>
      <c r="E26" s="147" t="s">
        <v>5</v>
      </c>
      <c r="F26" s="147" t="s">
        <v>6</v>
      </c>
      <c r="G26" s="147" t="s">
        <v>59</v>
      </c>
      <c r="H26" s="147" t="s">
        <v>60</v>
      </c>
      <c r="I26" s="147" t="s">
        <v>9</v>
      </c>
      <c r="J26" s="147" t="s">
        <v>79</v>
      </c>
      <c r="K26" s="148" t="s">
        <v>86</v>
      </c>
      <c r="L26" s="148" t="s">
        <v>12</v>
      </c>
    </row>
    <row r="27" spans="1:18" ht="23.25" customHeight="1">
      <c r="A27" s="37">
        <v>1</v>
      </c>
      <c r="B27" s="266" t="s">
        <v>283</v>
      </c>
      <c r="C27" s="7" t="s">
        <v>28</v>
      </c>
      <c r="D27" s="166">
        <f>D5*400</f>
        <v>60000</v>
      </c>
      <c r="E27" s="162">
        <v>50</v>
      </c>
      <c r="F27" s="162">
        <f>400/E27</f>
        <v>8</v>
      </c>
      <c r="G27" s="162">
        <f>D27*1/E27</f>
        <v>1200</v>
      </c>
      <c r="H27" s="162">
        <f>G27*F27*E27</f>
        <v>480000</v>
      </c>
      <c r="I27" s="162">
        <v>22</v>
      </c>
      <c r="J27" s="162">
        <f>G27/I27</f>
        <v>54.545454545454547</v>
      </c>
      <c r="K27" s="162">
        <f>J27*E27</f>
        <v>2727.2727272727275</v>
      </c>
      <c r="L27" s="57"/>
      <c r="M27" s="112"/>
      <c r="R27" s="34"/>
    </row>
    <row r="28" spans="1:18" ht="23.25" customHeight="1">
      <c r="A28" s="37">
        <v>2</v>
      </c>
      <c r="B28" s="187" t="s">
        <v>206</v>
      </c>
      <c r="C28" s="7" t="s">
        <v>219</v>
      </c>
      <c r="D28" s="166">
        <f>D5/100*20</f>
        <v>30</v>
      </c>
      <c r="E28" s="162">
        <v>1</v>
      </c>
      <c r="F28" s="162">
        <f t="shared" ref="F28:F30" si="15">400/E28</f>
        <v>400</v>
      </c>
      <c r="G28" s="162">
        <f t="shared" ref="G28:G30" si="16">D28*1/E28</f>
        <v>30</v>
      </c>
      <c r="H28" s="162">
        <f t="shared" ref="H28:H30" si="17">G28*F28*E28</f>
        <v>12000</v>
      </c>
      <c r="I28" s="162">
        <v>22</v>
      </c>
      <c r="J28" s="162">
        <f t="shared" ref="J28:J30" si="18">G28/I28</f>
        <v>1.3636363636363635</v>
      </c>
      <c r="K28" s="162">
        <f t="shared" ref="K28:K30" si="19">J28*E28</f>
        <v>1.3636363636363635</v>
      </c>
      <c r="L28" s="57"/>
      <c r="M28" s="112"/>
      <c r="R28" s="34"/>
    </row>
    <row r="29" spans="1:18" ht="23.25" customHeight="1">
      <c r="A29" s="37">
        <v>3</v>
      </c>
      <c r="B29" s="187" t="s">
        <v>216</v>
      </c>
      <c r="C29" s="7" t="s">
        <v>229</v>
      </c>
      <c r="D29" s="166">
        <f>D5*400</f>
        <v>60000</v>
      </c>
      <c r="E29" s="162">
        <v>250</v>
      </c>
      <c r="F29" s="162">
        <f t="shared" si="15"/>
        <v>1.6</v>
      </c>
      <c r="G29" s="162">
        <f t="shared" si="16"/>
        <v>240</v>
      </c>
      <c r="H29" s="162">
        <f t="shared" si="17"/>
        <v>96000</v>
      </c>
      <c r="I29" s="162">
        <v>22</v>
      </c>
      <c r="J29" s="162">
        <f t="shared" si="18"/>
        <v>10.909090909090908</v>
      </c>
      <c r="K29" s="162">
        <f t="shared" si="19"/>
        <v>2727.272727272727</v>
      </c>
      <c r="L29" s="57"/>
      <c r="M29" s="112"/>
      <c r="R29" s="34"/>
    </row>
    <row r="30" spans="1:18" ht="23.25" customHeight="1">
      <c r="A30" s="37">
        <v>4</v>
      </c>
      <c r="B30" s="187" t="s">
        <v>230</v>
      </c>
      <c r="C30" s="7" t="s">
        <v>28</v>
      </c>
      <c r="D30" s="166">
        <f>D27</f>
        <v>60000</v>
      </c>
      <c r="E30" s="162">
        <v>250</v>
      </c>
      <c r="F30" s="162">
        <f t="shared" si="15"/>
        <v>1.6</v>
      </c>
      <c r="G30" s="162">
        <f t="shared" si="16"/>
        <v>240</v>
      </c>
      <c r="H30" s="162">
        <f t="shared" si="17"/>
        <v>96000</v>
      </c>
      <c r="I30" s="162">
        <v>22</v>
      </c>
      <c r="J30" s="162">
        <f t="shared" si="18"/>
        <v>10.909090909090908</v>
      </c>
      <c r="K30" s="162">
        <f t="shared" si="19"/>
        <v>2727.272727272727</v>
      </c>
      <c r="L30" s="57"/>
      <c r="M30" s="112"/>
      <c r="R30" s="34"/>
    </row>
    <row r="31" spans="1:18" ht="23.25" customHeight="1">
      <c r="A31" s="766" t="s">
        <v>208</v>
      </c>
      <c r="B31" s="766"/>
      <c r="C31" s="161"/>
      <c r="D31" s="161"/>
      <c r="E31" s="161"/>
      <c r="F31" s="163"/>
      <c r="G31" s="163">
        <f>SUM(G27:G29)</f>
        <v>1470</v>
      </c>
      <c r="H31" s="163">
        <f>SUM(H27:H30)</f>
        <v>684000</v>
      </c>
      <c r="I31" s="164"/>
      <c r="J31" s="165">
        <f>SUM(J27:J30)</f>
        <v>77.727272727272734</v>
      </c>
      <c r="K31" s="766"/>
      <c r="L31" s="766"/>
      <c r="M31" s="112"/>
      <c r="R31" s="34"/>
    </row>
    <row r="32" spans="1:18" ht="23.25" customHeight="1">
      <c r="A32" s="726" t="s">
        <v>233</v>
      </c>
      <c r="B32" s="726"/>
      <c r="C32" s="69"/>
      <c r="D32" s="70"/>
      <c r="E32" s="70"/>
      <c r="F32" s="70"/>
      <c r="G32" s="71"/>
      <c r="H32" s="71">
        <f>H10+H17+H24+H31</f>
        <v>9684000.0000000019</v>
      </c>
      <c r="I32" s="71"/>
      <c r="J32" s="71"/>
      <c r="K32" s="183"/>
      <c r="L32" s="184"/>
    </row>
    <row r="33" spans="1:12" ht="23.25" customHeight="1">
      <c r="A33" s="727" t="s">
        <v>234</v>
      </c>
      <c r="B33" s="727"/>
      <c r="C33" s="178"/>
      <c r="D33" s="179"/>
      <c r="E33" s="179"/>
      <c r="F33" s="179"/>
      <c r="G33" s="180"/>
      <c r="H33" s="180">
        <f>H32/68</f>
        <v>142411.76470588238</v>
      </c>
      <c r="I33" s="180"/>
      <c r="J33" s="180"/>
      <c r="K33" s="181"/>
      <c r="L33" s="182"/>
    </row>
    <row r="34" spans="1:12" s="244" customFormat="1" ht="36.75" customHeight="1">
      <c r="A34" s="721" t="s">
        <v>321</v>
      </c>
      <c r="B34" s="721"/>
      <c r="C34" s="721"/>
      <c r="D34" s="68"/>
      <c r="E34" s="68"/>
      <c r="F34" s="176"/>
      <c r="G34" s="68" t="s">
        <v>44</v>
      </c>
      <c r="H34" s="68" t="s">
        <v>217</v>
      </c>
      <c r="J34" s="248"/>
      <c r="L34" s="68"/>
    </row>
    <row r="35" spans="1:12" s="244" customFormat="1" ht="39" customHeight="1">
      <c r="A35" s="267" t="s">
        <v>318</v>
      </c>
      <c r="B35" s="268"/>
      <c r="C35" s="269" t="s">
        <v>48</v>
      </c>
      <c r="D35" s="270"/>
      <c r="E35" s="270"/>
      <c r="F35" s="269" t="s">
        <v>200</v>
      </c>
      <c r="G35" s="39"/>
      <c r="H35" s="324"/>
      <c r="I35" s="384" t="s">
        <v>319</v>
      </c>
      <c r="J35" s="324" t="s">
        <v>49</v>
      </c>
      <c r="K35" s="324"/>
      <c r="L35" s="39"/>
    </row>
    <row r="36" spans="1:12" s="244" customFormat="1" ht="33" customHeight="1">
      <c r="A36" s="271"/>
      <c r="B36" s="272"/>
      <c r="C36" s="271" t="s">
        <v>286</v>
      </c>
      <c r="D36" s="271"/>
      <c r="E36" s="271"/>
      <c r="F36" s="244" t="s">
        <v>52</v>
      </c>
      <c r="G36" s="271"/>
      <c r="H36" s="325"/>
      <c r="I36" s="271"/>
      <c r="J36" s="325" t="s">
        <v>54</v>
      </c>
      <c r="K36" s="326"/>
      <c r="L36" s="323" t="s">
        <v>81</v>
      </c>
    </row>
  </sheetData>
  <mergeCells count="17">
    <mergeCell ref="A11:L11"/>
    <mergeCell ref="A17:B17"/>
    <mergeCell ref="K17:L17"/>
    <mergeCell ref="A18:L18"/>
    <mergeCell ref="A24:B24"/>
    <mergeCell ref="K24:L24"/>
    <mergeCell ref="A1:L1"/>
    <mergeCell ref="A2:L2"/>
    <mergeCell ref="A3:L3"/>
    <mergeCell ref="A10:C10"/>
    <mergeCell ref="K10:L10"/>
    <mergeCell ref="K31:L31"/>
    <mergeCell ref="A32:B32"/>
    <mergeCell ref="A33:B33"/>
    <mergeCell ref="A34:C34"/>
    <mergeCell ref="A25:L25"/>
    <mergeCell ref="A31:B31"/>
  </mergeCells>
  <printOptions horizontalCentered="1"/>
  <pageMargins left="0.25" right="0.25" top="0.49" bottom="0.25" header="0.17" footer="0.18"/>
  <pageSetup paperSize="9" scale="5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7"/>
  <sheetViews>
    <sheetView rightToLeft="1" view="pageBreakPreview" zoomScale="60" workbookViewId="0">
      <selection activeCell="I18" sqref="I18"/>
    </sheetView>
  </sheetViews>
  <sheetFormatPr defaultColWidth="9.125" defaultRowHeight="15"/>
  <cols>
    <col min="1" max="1" width="7" style="120" customWidth="1"/>
    <col min="2" max="2" width="48.25" style="120" customWidth="1"/>
    <col min="3" max="3" width="10" style="120" customWidth="1"/>
    <col min="4" max="11" width="18.875" style="120" customWidth="1"/>
    <col min="12" max="12" width="48.375" style="120" customWidth="1"/>
    <col min="13" max="13" width="10.75" style="120" bestFit="1" customWidth="1"/>
    <col min="14" max="14" width="17.625" style="120" customWidth="1"/>
    <col min="15" max="15" width="17" style="120" customWidth="1"/>
    <col min="16" max="16" width="24.125" style="120" customWidth="1"/>
    <col min="17" max="17" width="9.125" style="120"/>
    <col min="18" max="18" width="11.75" style="120" customWidth="1"/>
    <col min="19" max="19" width="9.125" style="120"/>
    <col min="20" max="20" width="13.375" style="120" customWidth="1"/>
    <col min="21" max="16384" width="9.125" style="120"/>
  </cols>
  <sheetData>
    <row r="1" spans="1:18" ht="60.75" customHeight="1">
      <c r="A1" s="750" t="s">
        <v>243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</row>
    <row r="2" spans="1:18" ht="27.75" customHeight="1" thickBot="1">
      <c r="A2" s="751" t="s">
        <v>215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N2" s="34"/>
    </row>
    <row r="3" spans="1:18" ht="26.25" customHeight="1" thickBot="1">
      <c r="A3" s="768" t="s">
        <v>232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70"/>
    </row>
    <row r="4" spans="1:18" s="141" customFormat="1" ht="32.25" customHeight="1">
      <c r="A4" s="771" t="s">
        <v>209</v>
      </c>
      <c r="B4" s="771"/>
      <c r="C4" s="771"/>
      <c r="D4" s="771"/>
      <c r="E4" s="771"/>
      <c r="F4" s="771"/>
      <c r="G4" s="771"/>
      <c r="H4" s="771"/>
      <c r="I4" s="771"/>
      <c r="J4" s="771"/>
      <c r="K4" s="771"/>
      <c r="L4" s="771"/>
    </row>
    <row r="5" spans="1:18" s="141" customFormat="1" ht="38.25" customHeight="1">
      <c r="A5" s="145" t="s">
        <v>1</v>
      </c>
      <c r="B5" s="146" t="s">
        <v>78</v>
      </c>
      <c r="C5" s="146" t="s">
        <v>3</v>
      </c>
      <c r="D5" s="147" t="s">
        <v>4</v>
      </c>
      <c r="E5" s="147" t="s">
        <v>5</v>
      </c>
      <c r="F5" s="147" t="s">
        <v>6</v>
      </c>
      <c r="G5" s="147" t="s">
        <v>59</v>
      </c>
      <c r="H5" s="147" t="s">
        <v>8</v>
      </c>
      <c r="I5" s="147" t="s">
        <v>210</v>
      </c>
      <c r="J5" s="147" t="s">
        <v>211</v>
      </c>
      <c r="K5" s="147" t="s">
        <v>212</v>
      </c>
      <c r="L5" s="147" t="s">
        <v>12</v>
      </c>
    </row>
    <row r="6" spans="1:18" s="141" customFormat="1" ht="24" customHeight="1">
      <c r="A6" s="188"/>
      <c r="B6" s="189" t="s">
        <v>237</v>
      </c>
      <c r="C6" s="189" t="s">
        <v>41</v>
      </c>
      <c r="D6" s="185">
        <v>180</v>
      </c>
      <c r="E6" s="185"/>
      <c r="F6" s="185"/>
      <c r="G6" s="185"/>
      <c r="H6" s="185"/>
      <c r="I6" s="185"/>
      <c r="J6" s="185"/>
      <c r="K6" s="185"/>
      <c r="L6" s="185"/>
    </row>
    <row r="7" spans="1:18" s="44" customFormat="1" ht="24" customHeight="1">
      <c r="A7" s="32">
        <v>1</v>
      </c>
      <c r="B7" s="187" t="s">
        <v>201</v>
      </c>
      <c r="C7" s="142" t="s">
        <v>228</v>
      </c>
      <c r="D7" s="144">
        <f>D6*1666/100*10</f>
        <v>29988</v>
      </c>
      <c r="E7" s="162">
        <v>17</v>
      </c>
      <c r="F7" s="162">
        <f>400/E7</f>
        <v>23.529411764705884</v>
      </c>
      <c r="G7" s="162">
        <f>D7*1/E7</f>
        <v>1764</v>
      </c>
      <c r="H7" s="142">
        <f>G7*F7*E7</f>
        <v>705600.00000000012</v>
      </c>
      <c r="I7" s="42">
        <v>22</v>
      </c>
      <c r="J7" s="143">
        <f>G7/I7</f>
        <v>80.181818181818187</v>
      </c>
      <c r="K7" s="42">
        <f>J7*E7</f>
        <v>1363.0909090909092</v>
      </c>
      <c r="L7" s="113"/>
    </row>
    <row r="8" spans="1:18" s="44" customFormat="1" ht="24" customHeight="1">
      <c r="A8" s="32">
        <v>2</v>
      </c>
      <c r="B8" s="187" t="s">
        <v>202</v>
      </c>
      <c r="C8" s="142" t="s">
        <v>14</v>
      </c>
      <c r="D8" s="144">
        <f>D6/100*5*1000/100*10</f>
        <v>900</v>
      </c>
      <c r="E8" s="162">
        <v>17</v>
      </c>
      <c r="F8" s="162">
        <f t="shared" ref="F8:F10" si="0">400/E8</f>
        <v>23.529411764705884</v>
      </c>
      <c r="G8" s="162">
        <f t="shared" ref="G8:G10" si="1">D8*1/E8</f>
        <v>52.941176470588232</v>
      </c>
      <c r="H8" s="42">
        <f t="shared" ref="H8:H10" si="2">G8*F8*E8</f>
        <v>21176.470588235294</v>
      </c>
      <c r="I8" s="42">
        <v>22</v>
      </c>
      <c r="J8" s="143">
        <f t="shared" ref="J8:J10" si="3">G8/I8</f>
        <v>2.4064171122994651</v>
      </c>
      <c r="K8" s="42">
        <f t="shared" ref="K8:K10" si="4">J8*E8</f>
        <v>40.909090909090907</v>
      </c>
      <c r="L8" s="113"/>
    </row>
    <row r="9" spans="1:18" s="44" customFormat="1" ht="24" customHeight="1">
      <c r="A9" s="32">
        <v>3</v>
      </c>
      <c r="B9" s="187" t="s">
        <v>203</v>
      </c>
      <c r="C9" s="142" t="s">
        <v>227</v>
      </c>
      <c r="D9" s="144">
        <f>D6/100*10</f>
        <v>18</v>
      </c>
      <c r="E9" s="162">
        <v>0.5</v>
      </c>
      <c r="F9" s="162">
        <f t="shared" si="0"/>
        <v>800</v>
      </c>
      <c r="G9" s="162">
        <f t="shared" si="1"/>
        <v>36</v>
      </c>
      <c r="H9" s="42">
        <f t="shared" si="2"/>
        <v>14400</v>
      </c>
      <c r="I9" s="42">
        <v>22</v>
      </c>
      <c r="J9" s="143">
        <f t="shared" si="3"/>
        <v>1.6363636363636365</v>
      </c>
      <c r="K9" s="42">
        <f t="shared" si="4"/>
        <v>0.81818181818181823</v>
      </c>
      <c r="L9" s="113"/>
    </row>
    <row r="10" spans="1:18" s="44" customFormat="1" ht="24" customHeight="1">
      <c r="A10" s="32">
        <v>4</v>
      </c>
      <c r="B10" s="187" t="s">
        <v>204</v>
      </c>
      <c r="C10" s="142" t="s">
        <v>229</v>
      </c>
      <c r="D10" s="144">
        <f>D6*800/100*10</f>
        <v>14400</v>
      </c>
      <c r="E10" s="162">
        <v>17</v>
      </c>
      <c r="F10" s="162">
        <f t="shared" si="0"/>
        <v>23.529411764705884</v>
      </c>
      <c r="G10" s="162">
        <f t="shared" si="1"/>
        <v>847.05882352941171</v>
      </c>
      <c r="H10" s="42">
        <f t="shared" si="2"/>
        <v>338823.5294117647</v>
      </c>
      <c r="I10" s="42">
        <v>22</v>
      </c>
      <c r="J10" s="143">
        <f t="shared" si="3"/>
        <v>38.502673796791441</v>
      </c>
      <c r="K10" s="42">
        <f t="shared" si="4"/>
        <v>654.5454545454545</v>
      </c>
      <c r="L10" s="139"/>
    </row>
    <row r="11" spans="1:18" s="44" customFormat="1" ht="29.25" customHeight="1">
      <c r="A11" s="772" t="s">
        <v>220</v>
      </c>
      <c r="B11" s="772"/>
      <c r="C11" s="772"/>
      <c r="D11" s="150"/>
      <c r="E11" s="151"/>
      <c r="F11" s="151"/>
      <c r="G11" s="186">
        <f>SUM(G7:G10)</f>
        <v>2700</v>
      </c>
      <c r="H11" s="186">
        <f>SUM(H7:H10)</f>
        <v>1080000</v>
      </c>
      <c r="I11" s="186"/>
      <c r="J11" s="152">
        <f>SUM(J7:J10)</f>
        <v>122.72727272727273</v>
      </c>
      <c r="K11" s="773"/>
      <c r="L11" s="773"/>
    </row>
    <row r="12" spans="1:18" ht="31.5" customHeight="1">
      <c r="A12" s="765" t="s">
        <v>149</v>
      </c>
      <c r="B12" s="765"/>
      <c r="C12" s="765"/>
      <c r="D12" s="765"/>
      <c r="E12" s="765"/>
      <c r="F12" s="765"/>
      <c r="G12" s="765"/>
      <c r="H12" s="765"/>
      <c r="I12" s="765"/>
      <c r="J12" s="765"/>
      <c r="K12" s="765"/>
      <c r="L12" s="765"/>
    </row>
    <row r="13" spans="1:18" ht="36" customHeight="1">
      <c r="A13" s="149" t="s">
        <v>1</v>
      </c>
      <c r="B13" s="147" t="s">
        <v>78</v>
      </c>
      <c r="C13" s="147" t="s">
        <v>3</v>
      </c>
      <c r="D13" s="147" t="s">
        <v>4</v>
      </c>
      <c r="E13" s="147" t="s">
        <v>5</v>
      </c>
      <c r="F13" s="147" t="s">
        <v>6</v>
      </c>
      <c r="G13" s="147" t="s">
        <v>59</v>
      </c>
      <c r="H13" s="147" t="s">
        <v>60</v>
      </c>
      <c r="I13" s="147" t="s">
        <v>9</v>
      </c>
      <c r="J13" s="147" t="s">
        <v>79</v>
      </c>
      <c r="K13" s="148" t="s">
        <v>86</v>
      </c>
      <c r="L13" s="148" t="s">
        <v>12</v>
      </c>
    </row>
    <row r="14" spans="1:18" ht="21" customHeight="1">
      <c r="A14" s="37">
        <v>1</v>
      </c>
      <c r="B14" s="187" t="s">
        <v>201</v>
      </c>
      <c r="C14" s="7" t="s">
        <v>14</v>
      </c>
      <c r="D14" s="144">
        <f>D6*1666/100*45</f>
        <v>134946</v>
      </c>
      <c r="E14" s="162">
        <v>17</v>
      </c>
      <c r="F14" s="162">
        <f>400/E14</f>
        <v>23.529411764705884</v>
      </c>
      <c r="G14" s="162">
        <f>D14*1/E14</f>
        <v>7938</v>
      </c>
      <c r="H14" s="142">
        <f>G14*F14*E14</f>
        <v>3175200</v>
      </c>
      <c r="I14" s="42">
        <v>66</v>
      </c>
      <c r="J14" s="143">
        <f>G14/I14</f>
        <v>120.27272727272727</v>
      </c>
      <c r="K14" s="42">
        <f>J14*E14</f>
        <v>2044.6363636363635</v>
      </c>
      <c r="L14" s="57"/>
      <c r="M14" s="112"/>
      <c r="R14" s="34"/>
    </row>
    <row r="15" spans="1:18" ht="21" customHeight="1">
      <c r="A15" s="37">
        <v>2</v>
      </c>
      <c r="B15" s="187" t="s">
        <v>202</v>
      </c>
      <c r="C15" s="7" t="s">
        <v>14</v>
      </c>
      <c r="D15" s="144">
        <f>D6/100*5*1000/100*45</f>
        <v>4050</v>
      </c>
      <c r="E15" s="162">
        <v>17</v>
      </c>
      <c r="F15" s="162">
        <f t="shared" ref="F15:F17" si="5">400/E15</f>
        <v>23.529411764705884</v>
      </c>
      <c r="G15" s="162">
        <f t="shared" ref="G15:G17" si="6">D15*1/E15</f>
        <v>238.23529411764707</v>
      </c>
      <c r="H15" s="142">
        <f t="shared" ref="H15:H17" si="7">G15*F15*E15</f>
        <v>95294.11764705884</v>
      </c>
      <c r="I15" s="42">
        <v>66</v>
      </c>
      <c r="J15" s="143">
        <f t="shared" ref="J15:J17" si="8">G15/I15</f>
        <v>3.6096256684491981</v>
      </c>
      <c r="K15" s="42">
        <f t="shared" ref="K15:K17" si="9">J15*E15</f>
        <v>61.363636363636367</v>
      </c>
      <c r="L15" s="57"/>
      <c r="M15" s="112"/>
      <c r="R15" s="34"/>
    </row>
    <row r="16" spans="1:18" ht="21" customHeight="1">
      <c r="A16" s="37">
        <v>3</v>
      </c>
      <c r="B16" s="187" t="s">
        <v>203</v>
      </c>
      <c r="C16" s="7" t="s">
        <v>227</v>
      </c>
      <c r="D16" s="144">
        <f>D6/100*45</f>
        <v>81</v>
      </c>
      <c r="E16" s="162">
        <v>0.5</v>
      </c>
      <c r="F16" s="162">
        <f t="shared" si="5"/>
        <v>800</v>
      </c>
      <c r="G16" s="162">
        <f t="shared" si="6"/>
        <v>162</v>
      </c>
      <c r="H16" s="142">
        <f t="shared" si="7"/>
        <v>64800</v>
      </c>
      <c r="I16" s="42">
        <v>66</v>
      </c>
      <c r="J16" s="143">
        <f t="shared" si="8"/>
        <v>2.4545454545454546</v>
      </c>
      <c r="K16" s="42">
        <f t="shared" si="9"/>
        <v>1.2272727272727273</v>
      </c>
      <c r="L16" s="57"/>
      <c r="M16" s="112"/>
      <c r="R16" s="34"/>
    </row>
    <row r="17" spans="1:18" ht="21" customHeight="1">
      <c r="A17" s="37">
        <v>4</v>
      </c>
      <c r="B17" s="187" t="s">
        <v>204</v>
      </c>
      <c r="C17" s="7" t="s">
        <v>229</v>
      </c>
      <c r="D17" s="144">
        <f>D6*800/100*45</f>
        <v>64800</v>
      </c>
      <c r="E17" s="162">
        <v>17</v>
      </c>
      <c r="F17" s="162">
        <f t="shared" si="5"/>
        <v>23.529411764705884</v>
      </c>
      <c r="G17" s="162">
        <f t="shared" si="6"/>
        <v>3811.7647058823532</v>
      </c>
      <c r="H17" s="142">
        <f t="shared" si="7"/>
        <v>1524705.8823529414</v>
      </c>
      <c r="I17" s="42">
        <v>66</v>
      </c>
      <c r="J17" s="143">
        <f t="shared" si="8"/>
        <v>57.754010695187169</v>
      </c>
      <c r="K17" s="42">
        <f t="shared" si="9"/>
        <v>981.81818181818187</v>
      </c>
      <c r="L17" s="57"/>
      <c r="M17" s="112"/>
      <c r="R17" s="34"/>
    </row>
    <row r="18" spans="1:18" ht="30" customHeight="1">
      <c r="A18" s="766" t="s">
        <v>213</v>
      </c>
      <c r="B18" s="766"/>
      <c r="C18" s="154"/>
      <c r="D18" s="155"/>
      <c r="E18" s="156"/>
      <c r="F18" s="157"/>
      <c r="G18" s="158">
        <f>SUM(G14:G17)</f>
        <v>12150</v>
      </c>
      <c r="H18" s="156">
        <f>SUM(H14:H17)</f>
        <v>4860000</v>
      </c>
      <c r="I18" s="159"/>
      <c r="J18" s="160">
        <f>SUM(J14:J17)</f>
        <v>184.09090909090909</v>
      </c>
      <c r="K18" s="767"/>
      <c r="L18" s="767"/>
      <c r="M18" s="112"/>
      <c r="R18" s="34"/>
    </row>
    <row r="19" spans="1:18" ht="27" customHeight="1">
      <c r="A19" s="765" t="s">
        <v>61</v>
      </c>
      <c r="B19" s="765"/>
      <c r="C19" s="765"/>
      <c r="D19" s="765"/>
      <c r="E19" s="765"/>
      <c r="F19" s="765"/>
      <c r="G19" s="765"/>
      <c r="H19" s="765"/>
      <c r="I19" s="765"/>
      <c r="J19" s="765"/>
      <c r="K19" s="765"/>
      <c r="L19" s="765"/>
    </row>
    <row r="20" spans="1:18" ht="48.75" customHeight="1">
      <c r="A20" s="149" t="s">
        <v>1</v>
      </c>
      <c r="B20" s="147" t="s">
        <v>78</v>
      </c>
      <c r="C20" s="147" t="s">
        <v>3</v>
      </c>
      <c r="D20" s="147" t="s">
        <v>4</v>
      </c>
      <c r="E20" s="147" t="s">
        <v>5</v>
      </c>
      <c r="F20" s="147" t="s">
        <v>6</v>
      </c>
      <c r="G20" s="147" t="s">
        <v>59</v>
      </c>
      <c r="H20" s="147" t="s">
        <v>60</v>
      </c>
      <c r="I20" s="147" t="s">
        <v>9</v>
      </c>
      <c r="J20" s="147" t="s">
        <v>79</v>
      </c>
      <c r="K20" s="148" t="s">
        <v>86</v>
      </c>
      <c r="L20" s="148" t="s">
        <v>12</v>
      </c>
    </row>
    <row r="21" spans="1:18" ht="21.75" customHeight="1">
      <c r="A21" s="37">
        <v>1</v>
      </c>
      <c r="B21" s="187" t="s">
        <v>201</v>
      </c>
      <c r="C21" s="7" t="s">
        <v>14</v>
      </c>
      <c r="D21" s="144">
        <f>D6*1666/100*45</f>
        <v>134946</v>
      </c>
      <c r="E21" s="162">
        <v>17</v>
      </c>
      <c r="F21" s="162">
        <f>400/E21</f>
        <v>23.529411764705884</v>
      </c>
      <c r="G21" s="162">
        <f>D21*1/E21</f>
        <v>7938</v>
      </c>
      <c r="H21" s="142">
        <f>G21*F21*E21</f>
        <v>3175200</v>
      </c>
      <c r="I21" s="42">
        <v>66</v>
      </c>
      <c r="J21" s="143">
        <f>G21/I21</f>
        <v>120.27272727272727</v>
      </c>
      <c r="K21" s="42">
        <f>J21*E21</f>
        <v>2044.6363636363635</v>
      </c>
      <c r="L21" s="57"/>
      <c r="M21" s="112"/>
      <c r="R21" s="34"/>
    </row>
    <row r="22" spans="1:18" ht="21.75" customHeight="1">
      <c r="A22" s="37">
        <v>2</v>
      </c>
      <c r="B22" s="187" t="s">
        <v>202</v>
      </c>
      <c r="C22" s="7" t="s">
        <v>14</v>
      </c>
      <c r="D22" s="144">
        <f>D6/100*5*1000/100*45</f>
        <v>4050</v>
      </c>
      <c r="E22" s="162">
        <v>17</v>
      </c>
      <c r="F22" s="162">
        <f t="shared" ref="F22:F24" si="10">400/E22</f>
        <v>23.529411764705884</v>
      </c>
      <c r="G22" s="162">
        <f t="shared" ref="G22:G24" si="11">D22*1/E22</f>
        <v>238.23529411764707</v>
      </c>
      <c r="H22" s="142">
        <f t="shared" ref="H22:H24" si="12">G22*F22*E22</f>
        <v>95294.11764705884</v>
      </c>
      <c r="I22" s="42">
        <v>66</v>
      </c>
      <c r="J22" s="143">
        <f t="shared" ref="J22:J24" si="13">G22/I22</f>
        <v>3.6096256684491981</v>
      </c>
      <c r="K22" s="42">
        <f t="shared" ref="K22:K24" si="14">J22*E22</f>
        <v>61.363636363636367</v>
      </c>
      <c r="L22" s="57"/>
      <c r="M22" s="112"/>
      <c r="R22" s="34"/>
    </row>
    <row r="23" spans="1:18" ht="21.75" customHeight="1">
      <c r="A23" s="37">
        <v>3</v>
      </c>
      <c r="B23" s="187" t="s">
        <v>203</v>
      </c>
      <c r="C23" s="7" t="s">
        <v>227</v>
      </c>
      <c r="D23" s="144">
        <f>D6/100*45</f>
        <v>81</v>
      </c>
      <c r="E23" s="162">
        <v>0.5</v>
      </c>
      <c r="F23" s="162">
        <f t="shared" si="10"/>
        <v>800</v>
      </c>
      <c r="G23" s="162">
        <f t="shared" si="11"/>
        <v>162</v>
      </c>
      <c r="H23" s="142">
        <f t="shared" si="12"/>
        <v>64800</v>
      </c>
      <c r="I23" s="42">
        <v>66</v>
      </c>
      <c r="J23" s="143">
        <f t="shared" si="13"/>
        <v>2.4545454545454546</v>
      </c>
      <c r="K23" s="42">
        <f t="shared" si="14"/>
        <v>1.2272727272727273</v>
      </c>
      <c r="L23" s="57"/>
      <c r="M23" s="112"/>
      <c r="R23" s="34"/>
    </row>
    <row r="24" spans="1:18" ht="21.75" customHeight="1">
      <c r="A24" s="37">
        <v>4</v>
      </c>
      <c r="B24" s="187" t="s">
        <v>204</v>
      </c>
      <c r="C24" s="7" t="s">
        <v>229</v>
      </c>
      <c r="D24" s="144">
        <f>D6*800/100*45</f>
        <v>64800</v>
      </c>
      <c r="E24" s="162">
        <v>17</v>
      </c>
      <c r="F24" s="162">
        <f t="shared" si="10"/>
        <v>23.529411764705884</v>
      </c>
      <c r="G24" s="162">
        <f t="shared" si="11"/>
        <v>3811.7647058823532</v>
      </c>
      <c r="H24" s="142">
        <f t="shared" si="12"/>
        <v>1524705.8823529414</v>
      </c>
      <c r="I24" s="42">
        <v>66</v>
      </c>
      <c r="J24" s="143">
        <f t="shared" si="13"/>
        <v>57.754010695187169</v>
      </c>
      <c r="K24" s="42">
        <f t="shared" si="14"/>
        <v>981.81818181818187</v>
      </c>
      <c r="L24" s="57"/>
      <c r="M24" s="112"/>
      <c r="R24" s="34"/>
    </row>
    <row r="25" spans="1:18" ht="33" customHeight="1">
      <c r="A25" s="766" t="s">
        <v>214</v>
      </c>
      <c r="B25" s="766"/>
      <c r="C25" s="154"/>
      <c r="D25" s="155"/>
      <c r="E25" s="156"/>
      <c r="F25" s="157"/>
      <c r="G25" s="158">
        <f>SUM(G21:G24)</f>
        <v>12150</v>
      </c>
      <c r="H25" s="156">
        <f>SUM(H21:H24)</f>
        <v>4860000</v>
      </c>
      <c r="I25" s="159"/>
      <c r="J25" s="160">
        <f>SUM(J21:J24)</f>
        <v>184.09090909090909</v>
      </c>
      <c r="K25" s="767"/>
      <c r="L25" s="767"/>
      <c r="M25" s="112"/>
      <c r="R25" s="34"/>
    </row>
    <row r="26" spans="1:18" ht="32.25" customHeight="1">
      <c r="A26" s="765" t="s">
        <v>207</v>
      </c>
      <c r="B26" s="765"/>
      <c r="C26" s="765"/>
      <c r="D26" s="765"/>
      <c r="E26" s="765"/>
      <c r="F26" s="765"/>
      <c r="G26" s="765"/>
      <c r="H26" s="765"/>
      <c r="I26" s="765"/>
      <c r="J26" s="765"/>
      <c r="K26" s="765"/>
      <c r="L26" s="765"/>
      <c r="M26" s="43"/>
      <c r="N26" s="43"/>
    </row>
    <row r="27" spans="1:18" ht="42.75" customHeight="1">
      <c r="A27" s="149" t="s">
        <v>1</v>
      </c>
      <c r="B27" s="147" t="s">
        <v>78</v>
      </c>
      <c r="C27" s="147" t="s">
        <v>3</v>
      </c>
      <c r="D27" s="147" t="s">
        <v>4</v>
      </c>
      <c r="E27" s="147" t="s">
        <v>5</v>
      </c>
      <c r="F27" s="147" t="s">
        <v>6</v>
      </c>
      <c r="G27" s="147" t="s">
        <v>59</v>
      </c>
      <c r="H27" s="147" t="s">
        <v>60</v>
      </c>
      <c r="I27" s="147" t="s">
        <v>9</v>
      </c>
      <c r="J27" s="147" t="s">
        <v>79</v>
      </c>
      <c r="K27" s="148" t="s">
        <v>86</v>
      </c>
      <c r="L27" s="148" t="s">
        <v>12</v>
      </c>
    </row>
    <row r="28" spans="1:18" ht="23.25" customHeight="1">
      <c r="A28" s="37">
        <v>1</v>
      </c>
      <c r="B28" s="187" t="s">
        <v>205</v>
      </c>
      <c r="C28" s="7" t="s">
        <v>28</v>
      </c>
      <c r="D28" s="166">
        <f>D6*400</f>
        <v>72000</v>
      </c>
      <c r="E28" s="162">
        <v>50</v>
      </c>
      <c r="F28" s="162">
        <f>400/E28</f>
        <v>8</v>
      </c>
      <c r="G28" s="162">
        <f>D28*1/E28</f>
        <v>1440</v>
      </c>
      <c r="H28" s="162">
        <f>G28*F28*E28</f>
        <v>576000</v>
      </c>
      <c r="I28" s="162">
        <v>22</v>
      </c>
      <c r="J28" s="162">
        <f>G28/I28</f>
        <v>65.454545454545453</v>
      </c>
      <c r="K28" s="162">
        <f>J28*E28</f>
        <v>3272.7272727272725</v>
      </c>
      <c r="L28" s="57"/>
      <c r="M28" s="112"/>
      <c r="R28" s="34"/>
    </row>
    <row r="29" spans="1:18" ht="23.25" customHeight="1">
      <c r="A29" s="37">
        <v>2</v>
      </c>
      <c r="B29" s="187" t="s">
        <v>206</v>
      </c>
      <c r="C29" s="7" t="s">
        <v>219</v>
      </c>
      <c r="D29" s="166">
        <f>D6/100*30</f>
        <v>54</v>
      </c>
      <c r="E29" s="162">
        <v>1</v>
      </c>
      <c r="F29" s="162">
        <f t="shared" ref="F29:F31" si="15">400/E29</f>
        <v>400</v>
      </c>
      <c r="G29" s="162">
        <f t="shared" ref="G29:G31" si="16">D29*1/E29</f>
        <v>54</v>
      </c>
      <c r="H29" s="162">
        <f t="shared" ref="H29:H31" si="17">G29*F29*E29</f>
        <v>21600</v>
      </c>
      <c r="I29" s="162">
        <v>22</v>
      </c>
      <c r="J29" s="162">
        <f t="shared" ref="J29:J31" si="18">G29/I29</f>
        <v>2.4545454545454546</v>
      </c>
      <c r="K29" s="162">
        <f t="shared" ref="K29:K31" si="19">J29*E29</f>
        <v>2.4545454545454546</v>
      </c>
      <c r="L29" s="57"/>
      <c r="M29" s="112"/>
      <c r="R29" s="34"/>
    </row>
    <row r="30" spans="1:18" ht="23.25" customHeight="1">
      <c r="A30" s="37">
        <v>3</v>
      </c>
      <c r="B30" s="187" t="s">
        <v>216</v>
      </c>
      <c r="C30" s="7" t="s">
        <v>229</v>
      </c>
      <c r="D30" s="166">
        <f>D6*400</f>
        <v>72000</v>
      </c>
      <c r="E30" s="162">
        <v>250</v>
      </c>
      <c r="F30" s="162">
        <f t="shared" si="15"/>
        <v>1.6</v>
      </c>
      <c r="G30" s="162">
        <f t="shared" si="16"/>
        <v>288</v>
      </c>
      <c r="H30" s="162">
        <f t="shared" si="17"/>
        <v>115200</v>
      </c>
      <c r="I30" s="162">
        <v>22</v>
      </c>
      <c r="J30" s="162">
        <f t="shared" si="18"/>
        <v>13.090909090909092</v>
      </c>
      <c r="K30" s="162">
        <f t="shared" si="19"/>
        <v>3272.727272727273</v>
      </c>
      <c r="L30" s="57"/>
      <c r="M30" s="112"/>
      <c r="R30" s="34"/>
    </row>
    <row r="31" spans="1:18" ht="23.25" customHeight="1">
      <c r="A31" s="37">
        <v>4</v>
      </c>
      <c r="B31" s="187" t="s">
        <v>230</v>
      </c>
      <c r="C31" s="7"/>
      <c r="D31" s="166">
        <f>D28</f>
        <v>72000</v>
      </c>
      <c r="E31" s="162">
        <v>250</v>
      </c>
      <c r="F31" s="162">
        <f t="shared" si="15"/>
        <v>1.6</v>
      </c>
      <c r="G31" s="162">
        <f t="shared" si="16"/>
        <v>288</v>
      </c>
      <c r="H31" s="162">
        <f t="shared" si="17"/>
        <v>115200</v>
      </c>
      <c r="I31" s="162">
        <v>22</v>
      </c>
      <c r="J31" s="162">
        <f t="shared" si="18"/>
        <v>13.090909090909092</v>
      </c>
      <c r="K31" s="162">
        <f t="shared" si="19"/>
        <v>3272.727272727273</v>
      </c>
      <c r="L31" s="57"/>
      <c r="M31" s="112"/>
      <c r="R31" s="34"/>
    </row>
    <row r="32" spans="1:18" ht="35.25" customHeight="1">
      <c r="A32" s="766" t="s">
        <v>208</v>
      </c>
      <c r="B32" s="766"/>
      <c r="C32" s="161"/>
      <c r="D32" s="161"/>
      <c r="E32" s="161"/>
      <c r="F32" s="163"/>
      <c r="G32" s="163">
        <f>SUM(G28:G30)</f>
        <v>1782</v>
      </c>
      <c r="H32" s="163">
        <f>SUM(H28:H31)</f>
        <v>828000</v>
      </c>
      <c r="I32" s="164"/>
      <c r="J32" s="165">
        <f>SUM(J28:J31)</f>
        <v>94.090909090909093</v>
      </c>
      <c r="K32" s="766"/>
      <c r="L32" s="766"/>
      <c r="M32" s="112"/>
      <c r="R32" s="34"/>
    </row>
    <row r="33" spans="1:12" ht="27" customHeight="1">
      <c r="A33" s="726" t="s">
        <v>233</v>
      </c>
      <c r="B33" s="726"/>
      <c r="C33" s="69"/>
      <c r="D33" s="70"/>
      <c r="E33" s="70"/>
      <c r="F33" s="70"/>
      <c r="G33" s="71"/>
      <c r="H33" s="71">
        <f>H11+H18+H25+H32</f>
        <v>11628000</v>
      </c>
      <c r="I33" s="71"/>
      <c r="J33" s="71"/>
      <c r="K33" s="183"/>
      <c r="L33" s="184"/>
    </row>
    <row r="34" spans="1:12" ht="24" customHeight="1">
      <c r="A34" s="727" t="s">
        <v>234</v>
      </c>
      <c r="B34" s="727"/>
      <c r="C34" s="178"/>
      <c r="D34" s="179"/>
      <c r="E34" s="179"/>
      <c r="F34" s="179"/>
      <c r="G34" s="180"/>
      <c r="H34" s="180">
        <f>H33/68</f>
        <v>171000</v>
      </c>
      <c r="I34" s="180"/>
      <c r="J34" s="180"/>
      <c r="K34" s="181"/>
      <c r="L34" s="182"/>
    </row>
    <row r="35" spans="1:12" s="244" customFormat="1" ht="37.5" customHeight="1">
      <c r="A35" s="721" t="s">
        <v>321</v>
      </c>
      <c r="B35" s="721"/>
      <c r="C35" s="721"/>
      <c r="D35" s="68"/>
      <c r="E35" s="68"/>
      <c r="F35" s="176"/>
      <c r="G35" s="132" t="s">
        <v>44</v>
      </c>
      <c r="H35" s="68" t="s">
        <v>217</v>
      </c>
      <c r="J35" s="248"/>
      <c r="L35" s="68"/>
    </row>
    <row r="36" spans="1:12" s="244" customFormat="1" ht="45.75" customHeight="1">
      <c r="A36" s="267" t="s">
        <v>318</v>
      </c>
      <c r="B36" s="268"/>
      <c r="C36" s="269" t="s">
        <v>48</v>
      </c>
      <c r="D36" s="270"/>
      <c r="E36" s="270"/>
      <c r="F36" s="269" t="s">
        <v>200</v>
      </c>
      <c r="G36" s="39"/>
      <c r="H36" s="324"/>
      <c r="I36" s="384" t="s">
        <v>319</v>
      </c>
      <c r="J36" s="324" t="s">
        <v>49</v>
      </c>
      <c r="K36" s="324"/>
      <c r="L36" s="39"/>
    </row>
    <row r="37" spans="1:12" s="244" customFormat="1" ht="33" customHeight="1">
      <c r="A37" s="271"/>
      <c r="B37" s="272"/>
      <c r="C37" s="271" t="s">
        <v>286</v>
      </c>
      <c r="D37" s="271"/>
      <c r="E37" s="271"/>
      <c r="F37" s="244" t="s">
        <v>52</v>
      </c>
      <c r="G37" s="271"/>
      <c r="H37" s="325"/>
      <c r="I37" s="271"/>
      <c r="J37" s="325" t="s">
        <v>54</v>
      </c>
      <c r="K37" s="326"/>
      <c r="L37" s="323" t="s">
        <v>81</v>
      </c>
    </row>
  </sheetData>
  <mergeCells count="18">
    <mergeCell ref="K32:L32"/>
    <mergeCell ref="A33:B33"/>
    <mergeCell ref="A34:B34"/>
    <mergeCell ref="A35:C35"/>
    <mergeCell ref="A26:L26"/>
    <mergeCell ref="A32:B32"/>
    <mergeCell ref="A1:L1"/>
    <mergeCell ref="A2:L2"/>
    <mergeCell ref="A3:L3"/>
    <mergeCell ref="A4:L4"/>
    <mergeCell ref="A11:C11"/>
    <mergeCell ref="K11:L11"/>
    <mergeCell ref="A12:L12"/>
    <mergeCell ref="A18:B18"/>
    <mergeCell ref="K18:L18"/>
    <mergeCell ref="A19:L19"/>
    <mergeCell ref="A25:B25"/>
    <mergeCell ref="K25:L25"/>
  </mergeCells>
  <printOptions horizontalCentered="1"/>
  <pageMargins left="0.25" right="0.25" top="0.56999999999999995" bottom="0.28999999999999998" header="0.17" footer="0.18"/>
  <pageSetup paperSize="9" scale="5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0"/>
  <sheetViews>
    <sheetView rightToLeft="1" view="pageBreakPreview" topLeftCell="A19" zoomScale="60" workbookViewId="0">
      <selection activeCell="D7" sqref="D7"/>
    </sheetView>
  </sheetViews>
  <sheetFormatPr defaultColWidth="9.125" defaultRowHeight="15"/>
  <cols>
    <col min="1" max="1" width="7" style="120" customWidth="1"/>
    <col min="2" max="2" width="48.25" style="120" customWidth="1"/>
    <col min="3" max="3" width="10" style="120" customWidth="1"/>
    <col min="4" max="4" width="17" style="120" bestFit="1" customWidth="1"/>
    <col min="5" max="5" width="13.25" style="120" customWidth="1"/>
    <col min="6" max="6" width="14.625" style="120" customWidth="1"/>
    <col min="7" max="7" width="14.75" style="120" customWidth="1"/>
    <col min="8" max="8" width="18.625" style="120" customWidth="1"/>
    <col min="9" max="10" width="13.125" style="120" customWidth="1"/>
    <col min="11" max="11" width="19" style="120" customWidth="1"/>
    <col min="12" max="12" width="48.375" style="120" customWidth="1"/>
    <col min="13" max="13" width="10.75" style="120" bestFit="1" customWidth="1"/>
    <col min="14" max="14" width="17.625" style="120" customWidth="1"/>
    <col min="15" max="15" width="17" style="120" customWidth="1"/>
    <col min="16" max="16" width="24.125" style="120" customWidth="1"/>
    <col min="17" max="17" width="9.125" style="120"/>
    <col min="18" max="18" width="11.75" style="120" customWidth="1"/>
    <col min="19" max="19" width="9.125" style="120"/>
    <col min="20" max="20" width="13.375" style="120" customWidth="1"/>
    <col min="21" max="16384" width="9.125" style="120"/>
  </cols>
  <sheetData>
    <row r="1" spans="1:18" ht="60.75" customHeight="1">
      <c r="A1" s="750" t="s">
        <v>242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</row>
    <row r="2" spans="1:18" ht="27.75" customHeight="1" thickBot="1">
      <c r="A2" s="751" t="s">
        <v>215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N2" s="34"/>
    </row>
    <row r="3" spans="1:18" ht="41.25" customHeight="1" thickBot="1">
      <c r="A3" s="768" t="s">
        <v>232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70"/>
    </row>
    <row r="4" spans="1:18" s="141" customFormat="1" ht="32.25" customHeight="1">
      <c r="A4" s="771" t="s">
        <v>209</v>
      </c>
      <c r="B4" s="771"/>
      <c r="C4" s="771"/>
      <c r="D4" s="771"/>
      <c r="E4" s="771"/>
      <c r="F4" s="771"/>
      <c r="G4" s="771"/>
      <c r="H4" s="771"/>
      <c r="I4" s="771"/>
      <c r="J4" s="771"/>
      <c r="K4" s="771"/>
      <c r="L4" s="771"/>
    </row>
    <row r="5" spans="1:18" s="141" customFormat="1" ht="38.25" customHeight="1">
      <c r="A5" s="145" t="s">
        <v>1</v>
      </c>
      <c r="B5" s="146" t="s">
        <v>78</v>
      </c>
      <c r="C5" s="146" t="s">
        <v>3</v>
      </c>
      <c r="D5" s="147" t="s">
        <v>4</v>
      </c>
      <c r="E5" s="147" t="s">
        <v>5</v>
      </c>
      <c r="F5" s="147" t="s">
        <v>6</v>
      </c>
      <c r="G5" s="147" t="s">
        <v>59</v>
      </c>
      <c r="H5" s="147" t="s">
        <v>8</v>
      </c>
      <c r="I5" s="147" t="s">
        <v>210</v>
      </c>
      <c r="J5" s="147" t="s">
        <v>211</v>
      </c>
      <c r="K5" s="147" t="s">
        <v>212</v>
      </c>
      <c r="L5" s="147" t="s">
        <v>12</v>
      </c>
    </row>
    <row r="6" spans="1:18" s="141" customFormat="1" ht="31.5" customHeight="1">
      <c r="A6" s="188"/>
      <c r="B6" s="189" t="s">
        <v>237</v>
      </c>
      <c r="C6" s="189" t="s">
        <v>41</v>
      </c>
      <c r="D6" s="185"/>
      <c r="E6" s="185"/>
      <c r="F6" s="185"/>
      <c r="G6" s="185"/>
      <c r="H6" s="185"/>
      <c r="I6" s="185"/>
      <c r="J6" s="185"/>
      <c r="K6" s="185"/>
      <c r="L6" s="185"/>
    </row>
    <row r="7" spans="1:18" s="44" customFormat="1" ht="23.25" customHeight="1">
      <c r="A7" s="32">
        <v>1</v>
      </c>
      <c r="B7" s="187" t="s">
        <v>201</v>
      </c>
      <c r="C7" s="142" t="s">
        <v>228</v>
      </c>
      <c r="D7" s="144">
        <f>D6*1666/100*20</f>
        <v>0</v>
      </c>
      <c r="E7" s="162">
        <v>13</v>
      </c>
      <c r="F7" s="162">
        <f>400/E7</f>
        <v>30.76923076923077</v>
      </c>
      <c r="G7" s="162">
        <f>D7*1/E7</f>
        <v>0</v>
      </c>
      <c r="H7" s="142">
        <f>G7*F7*E7</f>
        <v>0</v>
      </c>
      <c r="I7" s="42">
        <v>22</v>
      </c>
      <c r="J7" s="143">
        <f>G7/I7</f>
        <v>0</v>
      </c>
      <c r="K7" s="42">
        <f>J7*E7</f>
        <v>0</v>
      </c>
      <c r="L7" s="113" t="s">
        <v>221</v>
      </c>
    </row>
    <row r="8" spans="1:18" s="44" customFormat="1" ht="23.25" customHeight="1">
      <c r="A8" s="32">
        <v>2</v>
      </c>
      <c r="B8" s="187" t="s">
        <v>202</v>
      </c>
      <c r="C8" s="142" t="s">
        <v>14</v>
      </c>
      <c r="D8" s="144">
        <f>D6/100*10*1000/100*20</f>
        <v>0</v>
      </c>
      <c r="E8" s="162">
        <v>13</v>
      </c>
      <c r="F8" s="162">
        <f t="shared" ref="F8:F10" si="0">400/E8</f>
        <v>30.76923076923077</v>
      </c>
      <c r="G8" s="162">
        <f t="shared" ref="G8:G10" si="1">D8*1/E8</f>
        <v>0</v>
      </c>
      <c r="H8" s="42">
        <f t="shared" ref="H8:H10" si="2">G8*F8*E8</f>
        <v>0</v>
      </c>
      <c r="I8" s="42">
        <v>22</v>
      </c>
      <c r="J8" s="143">
        <f t="shared" ref="J8:J10" si="3">G8/I8</f>
        <v>0</v>
      </c>
      <c r="K8" s="42">
        <f t="shared" ref="K8:K10" si="4">J8*E8</f>
        <v>0</v>
      </c>
      <c r="L8" s="113" t="s">
        <v>221</v>
      </c>
    </row>
    <row r="9" spans="1:18" s="44" customFormat="1" ht="23.25" customHeight="1">
      <c r="A9" s="32">
        <v>3</v>
      </c>
      <c r="B9" s="187" t="s">
        <v>203</v>
      </c>
      <c r="C9" s="142" t="s">
        <v>227</v>
      </c>
      <c r="D9" s="144">
        <f>D6*2/100*20</f>
        <v>0</v>
      </c>
      <c r="E9" s="162">
        <v>0.5</v>
      </c>
      <c r="F9" s="162">
        <f t="shared" si="0"/>
        <v>800</v>
      </c>
      <c r="G9" s="162">
        <f t="shared" si="1"/>
        <v>0</v>
      </c>
      <c r="H9" s="42">
        <f t="shared" si="2"/>
        <v>0</v>
      </c>
      <c r="I9" s="42">
        <v>22</v>
      </c>
      <c r="J9" s="143">
        <f t="shared" si="3"/>
        <v>0</v>
      </c>
      <c r="K9" s="42">
        <f t="shared" si="4"/>
        <v>0</v>
      </c>
      <c r="L9" s="113" t="s">
        <v>221</v>
      </c>
    </row>
    <row r="10" spans="1:18" s="44" customFormat="1" ht="23.25" customHeight="1">
      <c r="A10" s="32">
        <v>4</v>
      </c>
      <c r="B10" s="187" t="s">
        <v>204</v>
      </c>
      <c r="C10" s="142" t="s">
        <v>229</v>
      </c>
      <c r="D10" s="144">
        <f>D6*800/100*20</f>
        <v>0</v>
      </c>
      <c r="E10" s="162">
        <v>13</v>
      </c>
      <c r="F10" s="162">
        <f t="shared" si="0"/>
        <v>30.76923076923077</v>
      </c>
      <c r="G10" s="162">
        <f t="shared" si="1"/>
        <v>0</v>
      </c>
      <c r="H10" s="42">
        <f t="shared" si="2"/>
        <v>0</v>
      </c>
      <c r="I10" s="42">
        <v>22</v>
      </c>
      <c r="J10" s="143">
        <f t="shared" si="3"/>
        <v>0</v>
      </c>
      <c r="K10" s="42">
        <f t="shared" si="4"/>
        <v>0</v>
      </c>
      <c r="L10" s="139" t="s">
        <v>221</v>
      </c>
    </row>
    <row r="11" spans="1:18" s="44" customFormat="1" ht="29.25" customHeight="1">
      <c r="A11" s="772" t="s">
        <v>220</v>
      </c>
      <c r="B11" s="772"/>
      <c r="C11" s="772"/>
      <c r="D11" s="150"/>
      <c r="E11" s="151"/>
      <c r="F11" s="151"/>
      <c r="G11" s="186">
        <f>SUM(G7:G10)</f>
        <v>0</v>
      </c>
      <c r="H11" s="186">
        <f>SUM(H7:H10)</f>
        <v>0</v>
      </c>
      <c r="I11" s="186"/>
      <c r="J11" s="152">
        <f>SUM(J7:J10)</f>
        <v>0</v>
      </c>
      <c r="K11" s="773" t="s">
        <v>235</v>
      </c>
      <c r="L11" s="773"/>
    </row>
    <row r="12" spans="1:18" ht="37.5" customHeight="1">
      <c r="A12" s="765" t="s">
        <v>149</v>
      </c>
      <c r="B12" s="765"/>
      <c r="C12" s="765"/>
      <c r="D12" s="765"/>
      <c r="E12" s="765"/>
      <c r="F12" s="765"/>
      <c r="G12" s="765"/>
      <c r="H12" s="765"/>
      <c r="I12" s="765"/>
      <c r="J12" s="765"/>
      <c r="K12" s="765"/>
      <c r="L12" s="765"/>
    </row>
    <row r="13" spans="1:18" ht="36" customHeight="1">
      <c r="A13" s="149" t="s">
        <v>1</v>
      </c>
      <c r="B13" s="147" t="s">
        <v>78</v>
      </c>
      <c r="C13" s="147" t="s">
        <v>3</v>
      </c>
      <c r="D13" s="147" t="s">
        <v>4</v>
      </c>
      <c r="E13" s="147" t="s">
        <v>5</v>
      </c>
      <c r="F13" s="147" t="s">
        <v>6</v>
      </c>
      <c r="G13" s="147" t="s">
        <v>59</v>
      </c>
      <c r="H13" s="147" t="s">
        <v>60</v>
      </c>
      <c r="I13" s="147" t="s">
        <v>9</v>
      </c>
      <c r="J13" s="147" t="s">
        <v>79</v>
      </c>
      <c r="K13" s="148" t="s">
        <v>86</v>
      </c>
      <c r="L13" s="148" t="s">
        <v>12</v>
      </c>
    </row>
    <row r="14" spans="1:18" ht="23.25" customHeight="1">
      <c r="A14" s="37">
        <v>1</v>
      </c>
      <c r="B14" s="187" t="s">
        <v>201</v>
      </c>
      <c r="C14" s="7" t="s">
        <v>14</v>
      </c>
      <c r="D14" s="144">
        <f>D6*1666/100*40</f>
        <v>0</v>
      </c>
      <c r="E14" s="162">
        <v>13</v>
      </c>
      <c r="F14" s="162">
        <f>400/E14</f>
        <v>30.76923076923077</v>
      </c>
      <c r="G14" s="162">
        <f>D14*1/E14</f>
        <v>0</v>
      </c>
      <c r="H14" s="142">
        <f>G14*F14*E14</f>
        <v>0</v>
      </c>
      <c r="I14" s="42">
        <v>66</v>
      </c>
      <c r="J14" s="143">
        <f>G14/I14</f>
        <v>0</v>
      </c>
      <c r="K14" s="42">
        <f>J14*E14</f>
        <v>0</v>
      </c>
      <c r="L14" s="57" t="s">
        <v>222</v>
      </c>
      <c r="M14" s="112"/>
      <c r="R14" s="34"/>
    </row>
    <row r="15" spans="1:18" ht="23.25" customHeight="1">
      <c r="A15" s="37">
        <v>2</v>
      </c>
      <c r="B15" s="187" t="s">
        <v>202</v>
      </c>
      <c r="C15" s="7" t="s">
        <v>14</v>
      </c>
      <c r="D15" s="144">
        <f>D6/100*10*1000/100*40</f>
        <v>0</v>
      </c>
      <c r="E15" s="162">
        <v>13</v>
      </c>
      <c r="F15" s="162">
        <f t="shared" ref="F15:F17" si="5">400/E15</f>
        <v>30.76923076923077</v>
      </c>
      <c r="G15" s="162">
        <f t="shared" ref="G15:G17" si="6">D15*1/E15</f>
        <v>0</v>
      </c>
      <c r="H15" s="142">
        <f t="shared" ref="H15:H17" si="7">G15*F15*E15</f>
        <v>0</v>
      </c>
      <c r="I15" s="42">
        <v>66</v>
      </c>
      <c r="J15" s="143">
        <f t="shared" ref="J15:J17" si="8">G15/I15</f>
        <v>0</v>
      </c>
      <c r="K15" s="42">
        <f t="shared" ref="K15:K17" si="9">J15*E15</f>
        <v>0</v>
      </c>
      <c r="L15" s="57" t="s">
        <v>222</v>
      </c>
      <c r="M15" s="112"/>
      <c r="R15" s="34"/>
    </row>
    <row r="16" spans="1:18" ht="23.25" customHeight="1">
      <c r="A16" s="37">
        <v>3</v>
      </c>
      <c r="B16" s="187" t="s">
        <v>203</v>
      </c>
      <c r="C16" s="7" t="s">
        <v>227</v>
      </c>
      <c r="D16" s="144">
        <f>D6*2/100*40</f>
        <v>0</v>
      </c>
      <c r="E16" s="162">
        <v>0.5</v>
      </c>
      <c r="F16" s="162">
        <f t="shared" si="5"/>
        <v>800</v>
      </c>
      <c r="G16" s="162">
        <f t="shared" si="6"/>
        <v>0</v>
      </c>
      <c r="H16" s="142">
        <f t="shared" si="7"/>
        <v>0</v>
      </c>
      <c r="I16" s="42">
        <v>66</v>
      </c>
      <c r="J16" s="143">
        <f t="shared" si="8"/>
        <v>0</v>
      </c>
      <c r="K16" s="42">
        <f t="shared" si="9"/>
        <v>0</v>
      </c>
      <c r="L16" s="57" t="s">
        <v>222</v>
      </c>
      <c r="M16" s="112"/>
      <c r="R16" s="34"/>
    </row>
    <row r="17" spans="1:18" ht="23.25" customHeight="1">
      <c r="A17" s="37">
        <v>4</v>
      </c>
      <c r="B17" s="187" t="s">
        <v>204</v>
      </c>
      <c r="C17" s="7" t="s">
        <v>229</v>
      </c>
      <c r="D17" s="144">
        <f>D6*800/100*40</f>
        <v>0</v>
      </c>
      <c r="E17" s="162">
        <v>13</v>
      </c>
      <c r="F17" s="162">
        <f t="shared" si="5"/>
        <v>30.76923076923077</v>
      </c>
      <c r="G17" s="162">
        <f t="shared" si="6"/>
        <v>0</v>
      </c>
      <c r="H17" s="142">
        <f t="shared" si="7"/>
        <v>0</v>
      </c>
      <c r="I17" s="42">
        <v>66</v>
      </c>
      <c r="J17" s="143">
        <f t="shared" si="8"/>
        <v>0</v>
      </c>
      <c r="K17" s="42">
        <f t="shared" si="9"/>
        <v>0</v>
      </c>
      <c r="L17" s="57" t="s">
        <v>222</v>
      </c>
      <c r="M17" s="112"/>
      <c r="R17" s="34"/>
    </row>
    <row r="18" spans="1:18" ht="30" customHeight="1">
      <c r="A18" s="766" t="s">
        <v>213</v>
      </c>
      <c r="B18" s="766"/>
      <c r="C18" s="154"/>
      <c r="D18" s="155"/>
      <c r="E18" s="156"/>
      <c r="F18" s="157"/>
      <c r="G18" s="158">
        <f>SUM(G14:G17)</f>
        <v>0</v>
      </c>
      <c r="H18" s="156">
        <f>SUM(H14:H17)</f>
        <v>0</v>
      </c>
      <c r="I18" s="159"/>
      <c r="J18" s="160">
        <f>SUM(J14:J17)</f>
        <v>0</v>
      </c>
      <c r="K18" s="767" t="s">
        <v>225</v>
      </c>
      <c r="L18" s="767"/>
      <c r="M18" s="112"/>
      <c r="R18" s="34"/>
    </row>
    <row r="19" spans="1:18" ht="33" customHeight="1">
      <c r="A19" s="765" t="s">
        <v>61</v>
      </c>
      <c r="B19" s="765"/>
      <c r="C19" s="765"/>
      <c r="D19" s="765"/>
      <c r="E19" s="765"/>
      <c r="F19" s="765"/>
      <c r="G19" s="765"/>
      <c r="H19" s="765"/>
      <c r="I19" s="765"/>
      <c r="J19" s="765"/>
      <c r="K19" s="765"/>
      <c r="L19" s="765"/>
    </row>
    <row r="20" spans="1:18" ht="48.75" customHeight="1">
      <c r="A20" s="149" t="s">
        <v>1</v>
      </c>
      <c r="B20" s="147" t="s">
        <v>78</v>
      </c>
      <c r="C20" s="147" t="s">
        <v>3</v>
      </c>
      <c r="D20" s="147" t="s">
        <v>4</v>
      </c>
      <c r="E20" s="147" t="s">
        <v>5</v>
      </c>
      <c r="F20" s="147" t="s">
        <v>6</v>
      </c>
      <c r="G20" s="147" t="s">
        <v>59</v>
      </c>
      <c r="H20" s="147" t="s">
        <v>60</v>
      </c>
      <c r="I20" s="147" t="s">
        <v>9</v>
      </c>
      <c r="J20" s="147" t="s">
        <v>79</v>
      </c>
      <c r="K20" s="148" t="s">
        <v>86</v>
      </c>
      <c r="L20" s="148" t="s">
        <v>12</v>
      </c>
    </row>
    <row r="21" spans="1:18" ht="23.25" customHeight="1">
      <c r="A21" s="37">
        <v>1</v>
      </c>
      <c r="B21" s="187" t="s">
        <v>201</v>
      </c>
      <c r="C21" s="7" t="s">
        <v>14</v>
      </c>
      <c r="D21" s="144">
        <f>D6*1666/100*40</f>
        <v>0</v>
      </c>
      <c r="E21" s="162">
        <v>13</v>
      </c>
      <c r="F21" s="162">
        <f>400/E21</f>
        <v>30.76923076923077</v>
      </c>
      <c r="G21" s="162">
        <f>D21*1/E21</f>
        <v>0</v>
      </c>
      <c r="H21" s="142">
        <f>G21*F21*E21</f>
        <v>0</v>
      </c>
      <c r="I21" s="42">
        <v>66</v>
      </c>
      <c r="J21" s="143">
        <f>G21/I21</f>
        <v>0</v>
      </c>
      <c r="K21" s="42">
        <f>J21*E21</f>
        <v>0</v>
      </c>
      <c r="L21" s="57" t="s">
        <v>223</v>
      </c>
      <c r="M21" s="112"/>
      <c r="R21" s="34"/>
    </row>
    <row r="22" spans="1:18" ht="23.25" customHeight="1">
      <c r="A22" s="37">
        <v>2</v>
      </c>
      <c r="B22" s="187" t="s">
        <v>202</v>
      </c>
      <c r="C22" s="7" t="s">
        <v>14</v>
      </c>
      <c r="D22" s="144">
        <f>D6/100*10*1000/100*40</f>
        <v>0</v>
      </c>
      <c r="E22" s="162">
        <v>13</v>
      </c>
      <c r="F22" s="162">
        <f t="shared" ref="F22:F24" si="10">400/E22</f>
        <v>30.76923076923077</v>
      </c>
      <c r="G22" s="162">
        <f t="shared" ref="G22:G24" si="11">D22*1/E22</f>
        <v>0</v>
      </c>
      <c r="H22" s="142">
        <f t="shared" ref="H22:H24" si="12">G22*F22*E22</f>
        <v>0</v>
      </c>
      <c r="I22" s="42">
        <v>66</v>
      </c>
      <c r="J22" s="143">
        <f t="shared" ref="J22:J24" si="13">G22/I22</f>
        <v>0</v>
      </c>
      <c r="K22" s="42">
        <f t="shared" ref="K22:K24" si="14">J22*E22</f>
        <v>0</v>
      </c>
      <c r="L22" s="57" t="s">
        <v>223</v>
      </c>
      <c r="M22" s="112"/>
      <c r="R22" s="34"/>
    </row>
    <row r="23" spans="1:18" ht="23.25" customHeight="1">
      <c r="A23" s="37">
        <v>3</v>
      </c>
      <c r="B23" s="187" t="s">
        <v>203</v>
      </c>
      <c r="C23" s="7" t="s">
        <v>227</v>
      </c>
      <c r="D23" s="144">
        <f>D6*2/100*40</f>
        <v>0</v>
      </c>
      <c r="E23" s="162">
        <v>0.5</v>
      </c>
      <c r="F23" s="162">
        <f t="shared" si="10"/>
        <v>800</v>
      </c>
      <c r="G23" s="162">
        <f t="shared" si="11"/>
        <v>0</v>
      </c>
      <c r="H23" s="142">
        <f t="shared" si="12"/>
        <v>0</v>
      </c>
      <c r="I23" s="42">
        <v>66</v>
      </c>
      <c r="J23" s="143">
        <f t="shared" si="13"/>
        <v>0</v>
      </c>
      <c r="K23" s="42">
        <f t="shared" si="14"/>
        <v>0</v>
      </c>
      <c r="L23" s="57" t="s">
        <v>223</v>
      </c>
      <c r="M23" s="112"/>
      <c r="R23" s="34"/>
    </row>
    <row r="24" spans="1:18" ht="23.25" customHeight="1">
      <c r="A24" s="37">
        <v>4</v>
      </c>
      <c r="B24" s="187" t="s">
        <v>204</v>
      </c>
      <c r="C24" s="7" t="s">
        <v>229</v>
      </c>
      <c r="D24" s="144">
        <f>D6*800/100*40</f>
        <v>0</v>
      </c>
      <c r="E24" s="162">
        <v>13</v>
      </c>
      <c r="F24" s="162">
        <f t="shared" si="10"/>
        <v>30.76923076923077</v>
      </c>
      <c r="G24" s="162">
        <f t="shared" si="11"/>
        <v>0</v>
      </c>
      <c r="H24" s="142">
        <f t="shared" si="12"/>
        <v>0</v>
      </c>
      <c r="I24" s="42">
        <v>66</v>
      </c>
      <c r="J24" s="143">
        <f t="shared" si="13"/>
        <v>0</v>
      </c>
      <c r="K24" s="42">
        <f t="shared" si="14"/>
        <v>0</v>
      </c>
      <c r="L24" s="57" t="s">
        <v>223</v>
      </c>
      <c r="M24" s="112"/>
      <c r="R24" s="34"/>
    </row>
    <row r="25" spans="1:18" ht="33" customHeight="1">
      <c r="A25" s="766" t="s">
        <v>214</v>
      </c>
      <c r="B25" s="766"/>
      <c r="C25" s="154"/>
      <c r="D25" s="155"/>
      <c r="E25" s="156"/>
      <c r="F25" s="157"/>
      <c r="G25" s="158">
        <f>SUM(G21:G24)</f>
        <v>0</v>
      </c>
      <c r="H25" s="156">
        <f>SUM(H21:H24)</f>
        <v>0</v>
      </c>
      <c r="I25" s="159"/>
      <c r="J25" s="160">
        <f>SUM(J21:J24)</f>
        <v>0</v>
      </c>
      <c r="K25" s="767" t="s">
        <v>226</v>
      </c>
      <c r="L25" s="767"/>
      <c r="M25" s="112"/>
      <c r="R25" s="34"/>
    </row>
    <row r="26" spans="1:18" ht="32.25" customHeight="1">
      <c r="A26" s="765" t="s">
        <v>207</v>
      </c>
      <c r="B26" s="765"/>
      <c r="C26" s="765"/>
      <c r="D26" s="765"/>
      <c r="E26" s="765"/>
      <c r="F26" s="765"/>
      <c r="G26" s="765"/>
      <c r="H26" s="765"/>
      <c r="I26" s="765"/>
      <c r="J26" s="765"/>
      <c r="K26" s="765"/>
      <c r="L26" s="765"/>
      <c r="M26" s="43"/>
      <c r="N26" s="43"/>
    </row>
    <row r="27" spans="1:18" ht="45" customHeight="1">
      <c r="A27" s="149" t="s">
        <v>1</v>
      </c>
      <c r="B27" s="147" t="s">
        <v>78</v>
      </c>
      <c r="C27" s="147" t="s">
        <v>3</v>
      </c>
      <c r="D27" s="147" t="s">
        <v>4</v>
      </c>
      <c r="E27" s="147" t="s">
        <v>5</v>
      </c>
      <c r="F27" s="147" t="s">
        <v>6</v>
      </c>
      <c r="G27" s="147" t="s">
        <v>59</v>
      </c>
      <c r="H27" s="147" t="s">
        <v>60</v>
      </c>
      <c r="I27" s="147" t="s">
        <v>9</v>
      </c>
      <c r="J27" s="147" t="s">
        <v>79</v>
      </c>
      <c r="K27" s="148" t="s">
        <v>86</v>
      </c>
      <c r="L27" s="148" t="s">
        <v>12</v>
      </c>
    </row>
    <row r="28" spans="1:18" ht="23.25" customHeight="1">
      <c r="A28" s="37">
        <v>1</v>
      </c>
      <c r="B28" s="187" t="s">
        <v>205</v>
      </c>
      <c r="C28" s="7" t="s">
        <v>28</v>
      </c>
      <c r="D28" s="166">
        <f>D6*800</f>
        <v>0</v>
      </c>
      <c r="E28" s="162">
        <v>50</v>
      </c>
      <c r="F28" s="162">
        <f>400/E28</f>
        <v>8</v>
      </c>
      <c r="G28" s="162">
        <f>D28*1/E28</f>
        <v>0</v>
      </c>
      <c r="H28" s="162">
        <f>G28*F28*E28</f>
        <v>0</v>
      </c>
      <c r="I28" s="162">
        <v>22</v>
      </c>
      <c r="J28" s="162">
        <f>G28/I28</f>
        <v>0</v>
      </c>
      <c r="K28" s="162">
        <f>J28*E28</f>
        <v>0</v>
      </c>
      <c r="L28" s="57" t="s">
        <v>224</v>
      </c>
      <c r="M28" s="112"/>
      <c r="R28" s="34"/>
    </row>
    <row r="29" spans="1:18" ht="23.25" customHeight="1">
      <c r="A29" s="37">
        <v>2</v>
      </c>
      <c r="B29" s="187" t="s">
        <v>206</v>
      </c>
      <c r="C29" s="7" t="s">
        <v>219</v>
      </c>
      <c r="D29" s="166">
        <f>D6</f>
        <v>0</v>
      </c>
      <c r="E29" s="162">
        <v>10</v>
      </c>
      <c r="F29" s="162">
        <f t="shared" ref="F29:F31" si="15">400/E29</f>
        <v>40</v>
      </c>
      <c r="G29" s="162">
        <f t="shared" ref="G29:G31" si="16">D29*1/E29</f>
        <v>0</v>
      </c>
      <c r="H29" s="162">
        <f t="shared" ref="H29:H31" si="17">G29*F29*E29</f>
        <v>0</v>
      </c>
      <c r="I29" s="162">
        <v>22</v>
      </c>
      <c r="J29" s="162">
        <f t="shared" ref="J29:J31" si="18">G29/I29</f>
        <v>0</v>
      </c>
      <c r="K29" s="162">
        <f t="shared" ref="K29:K31" si="19">J29*E29</f>
        <v>0</v>
      </c>
      <c r="L29" s="57" t="s">
        <v>224</v>
      </c>
      <c r="M29" s="112"/>
      <c r="R29" s="34"/>
    </row>
    <row r="30" spans="1:18" ht="23.25" customHeight="1">
      <c r="A30" s="37">
        <v>3</v>
      </c>
      <c r="B30" s="187" t="s">
        <v>216</v>
      </c>
      <c r="C30" s="7" t="s">
        <v>219</v>
      </c>
      <c r="D30" s="166">
        <f>D6/100*10</f>
        <v>0</v>
      </c>
      <c r="E30" s="162">
        <v>1</v>
      </c>
      <c r="F30" s="162">
        <f t="shared" si="15"/>
        <v>400</v>
      </c>
      <c r="G30" s="162">
        <f t="shared" si="16"/>
        <v>0</v>
      </c>
      <c r="H30" s="162">
        <f t="shared" si="17"/>
        <v>0</v>
      </c>
      <c r="I30" s="162">
        <v>22</v>
      </c>
      <c r="J30" s="162">
        <f t="shared" si="18"/>
        <v>0</v>
      </c>
      <c r="K30" s="162">
        <f t="shared" si="19"/>
        <v>0</v>
      </c>
      <c r="L30" s="57" t="s">
        <v>224</v>
      </c>
      <c r="M30" s="112"/>
      <c r="R30" s="34"/>
    </row>
    <row r="31" spans="1:18" ht="23.25" customHeight="1">
      <c r="A31" s="37">
        <v>4</v>
      </c>
      <c r="B31" s="187" t="s">
        <v>230</v>
      </c>
      <c r="C31" s="7"/>
      <c r="D31" s="166">
        <f>D28</f>
        <v>0</v>
      </c>
      <c r="E31" s="162">
        <v>250</v>
      </c>
      <c r="F31" s="162">
        <f t="shared" si="15"/>
        <v>1.6</v>
      </c>
      <c r="G31" s="162">
        <f t="shared" si="16"/>
        <v>0</v>
      </c>
      <c r="H31" s="162">
        <f t="shared" si="17"/>
        <v>0</v>
      </c>
      <c r="I31" s="162">
        <v>22</v>
      </c>
      <c r="J31" s="162">
        <f t="shared" si="18"/>
        <v>0</v>
      </c>
      <c r="K31" s="162">
        <f t="shared" si="19"/>
        <v>0</v>
      </c>
      <c r="L31" s="57"/>
      <c r="M31" s="112"/>
      <c r="R31" s="34"/>
    </row>
    <row r="32" spans="1:18" ht="35.25" customHeight="1">
      <c r="A32" s="766" t="s">
        <v>208</v>
      </c>
      <c r="B32" s="766"/>
      <c r="C32" s="161"/>
      <c r="D32" s="161"/>
      <c r="E32" s="161"/>
      <c r="F32" s="163"/>
      <c r="G32" s="163">
        <f>SUM(G28:G30)</f>
        <v>0</v>
      </c>
      <c r="H32" s="163">
        <f>SUM(H28:H31)</f>
        <v>0</v>
      </c>
      <c r="I32" s="164"/>
      <c r="J32" s="165">
        <f>SUM(J28:J31)</f>
        <v>0</v>
      </c>
      <c r="K32" s="766" t="s">
        <v>231</v>
      </c>
      <c r="L32" s="766"/>
      <c r="M32" s="112"/>
      <c r="R32" s="34"/>
    </row>
    <row r="33" spans="1:12" ht="28.5" customHeight="1">
      <c r="A33" s="726" t="s">
        <v>233</v>
      </c>
      <c r="B33" s="726"/>
      <c r="C33" s="69"/>
      <c r="D33" s="70"/>
      <c r="E33" s="70"/>
      <c r="F33" s="70"/>
      <c r="G33" s="71"/>
      <c r="H33" s="71">
        <f>H11+H18+H25+H32</f>
        <v>0</v>
      </c>
      <c r="I33" s="71"/>
      <c r="J33" s="71"/>
      <c r="K33" s="183"/>
      <c r="L33" s="184"/>
    </row>
    <row r="34" spans="1:12" ht="24" customHeight="1">
      <c r="A34" s="727" t="s">
        <v>234</v>
      </c>
      <c r="B34" s="727"/>
      <c r="C34" s="178"/>
      <c r="D34" s="179"/>
      <c r="E34" s="179"/>
      <c r="F34" s="179"/>
      <c r="G34" s="180"/>
      <c r="H34" s="180">
        <f>H33/68</f>
        <v>0</v>
      </c>
      <c r="I34" s="180"/>
      <c r="J34" s="180"/>
      <c r="K34" s="181"/>
      <c r="L34" s="182"/>
    </row>
    <row r="35" spans="1:12" s="244" customFormat="1" ht="26.25" customHeight="1">
      <c r="A35" s="764" t="s">
        <v>218</v>
      </c>
      <c r="B35" s="764"/>
      <c r="D35" s="68" t="s">
        <v>44</v>
      </c>
      <c r="E35" s="68" t="s">
        <v>217</v>
      </c>
      <c r="F35" s="176"/>
      <c r="G35" s="176"/>
      <c r="J35" s="68"/>
      <c r="L35" s="177"/>
    </row>
    <row r="36" spans="1:12" s="244" customFormat="1" ht="26.25" customHeight="1">
      <c r="A36" s="176" t="s">
        <v>236</v>
      </c>
      <c r="B36" s="247"/>
      <c r="C36" s="248"/>
      <c r="D36" s="68"/>
      <c r="F36" s="243" t="s">
        <v>238</v>
      </c>
      <c r="G36" s="176"/>
      <c r="J36" s="243"/>
      <c r="L36" s="177"/>
    </row>
    <row r="37" spans="1:12" s="244" customFormat="1" ht="26.25" customHeight="1">
      <c r="A37" s="248"/>
      <c r="B37" s="249"/>
      <c r="D37" s="133"/>
      <c r="F37" s="132"/>
      <c r="G37" s="248" t="s">
        <v>198</v>
      </c>
      <c r="J37" s="248"/>
      <c r="K37" s="250"/>
      <c r="L37" s="68"/>
    </row>
    <row r="38" spans="1:12" s="244" customFormat="1" ht="26.25" customHeight="1">
      <c r="A38" s="248"/>
      <c r="B38" s="249"/>
      <c r="D38" s="133"/>
      <c r="F38" s="132"/>
      <c r="G38" s="132"/>
      <c r="H38" s="244" t="s">
        <v>199</v>
      </c>
      <c r="K38" s="250"/>
      <c r="L38" s="68"/>
    </row>
    <row r="39" spans="1:12" s="244" customFormat="1" ht="26.25" customHeight="1">
      <c r="A39" s="248" t="s">
        <v>89</v>
      </c>
      <c r="B39" s="249"/>
      <c r="C39" s="243" t="s">
        <v>200</v>
      </c>
      <c r="G39" s="251" t="s">
        <v>48</v>
      </c>
      <c r="K39" s="68" t="s">
        <v>49</v>
      </c>
      <c r="L39" s="251"/>
    </row>
    <row r="40" spans="1:12" s="244" customFormat="1" ht="26.25" customHeight="1">
      <c r="B40" s="252"/>
      <c r="C40" s="244" t="s">
        <v>52</v>
      </c>
      <c r="G40" s="244" t="s">
        <v>53</v>
      </c>
      <c r="K40" s="137" t="s">
        <v>54</v>
      </c>
      <c r="L40" s="253" t="s">
        <v>81</v>
      </c>
    </row>
  </sheetData>
  <mergeCells count="18">
    <mergeCell ref="A1:L1"/>
    <mergeCell ref="A2:L2"/>
    <mergeCell ref="A3:L3"/>
    <mergeCell ref="A4:L4"/>
    <mergeCell ref="A11:C11"/>
    <mergeCell ref="K11:L11"/>
    <mergeCell ref="A35:B35"/>
    <mergeCell ref="A12:L12"/>
    <mergeCell ref="A18:B18"/>
    <mergeCell ref="K18:L18"/>
    <mergeCell ref="A19:L19"/>
    <mergeCell ref="A25:B25"/>
    <mergeCell ref="K25:L25"/>
    <mergeCell ref="A26:L26"/>
    <mergeCell ref="A32:B32"/>
    <mergeCell ref="K32:L32"/>
    <mergeCell ref="A33:B33"/>
    <mergeCell ref="A34:B34"/>
  </mergeCells>
  <printOptions horizontalCentered="1"/>
  <pageMargins left="0.35" right="0.36" top="0.32" bottom="0.28999999999999998" header="0.17" footer="0.18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rightToLeft="1" view="pageBreakPreview" zoomScaleSheetLayoutView="100" workbookViewId="0">
      <selection activeCell="F10" sqref="F10"/>
    </sheetView>
  </sheetViews>
  <sheetFormatPr defaultColWidth="9.125" defaultRowHeight="15"/>
  <cols>
    <col min="1" max="1" width="9.125" style="330"/>
    <col min="2" max="2" width="36.75" style="330" customWidth="1"/>
    <col min="3" max="3" width="11.875" style="331" customWidth="1"/>
    <col min="4" max="5" width="11.875" style="330" customWidth="1"/>
    <col min="6" max="6" width="13.125" style="330" customWidth="1"/>
    <col min="7" max="7" width="11.875" style="330" customWidth="1"/>
    <col min="8" max="8" width="14.75" style="330" customWidth="1"/>
    <col min="9" max="9" width="12.75" style="330" customWidth="1"/>
    <col min="10" max="10" width="11.875" style="330" customWidth="1"/>
    <col min="11" max="11" width="12" style="330" customWidth="1"/>
    <col min="12" max="12" width="16" style="330" customWidth="1"/>
    <col min="13" max="16384" width="9.125" style="330"/>
  </cols>
  <sheetData>
    <row r="1" spans="1:12" s="332" customFormat="1" ht="22.5" customHeight="1">
      <c r="A1" s="731" t="s">
        <v>294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</row>
    <row r="2" spans="1:12" s="332" customFormat="1" ht="22.5" customHeight="1">
      <c r="A2" s="731" t="s">
        <v>284</v>
      </c>
      <c r="B2" s="731"/>
      <c r="C2" s="731"/>
      <c r="D2" s="731"/>
      <c r="E2" s="731"/>
      <c r="F2" s="731"/>
      <c r="G2" s="731"/>
      <c r="H2" s="731"/>
      <c r="I2" s="731"/>
      <c r="J2" s="731"/>
      <c r="K2" s="731"/>
      <c r="L2" s="731"/>
    </row>
    <row r="3" spans="1:12" s="332" customFormat="1" ht="22.5" customHeight="1" thickBot="1">
      <c r="A3" s="732" t="s">
        <v>295</v>
      </c>
      <c r="B3" s="732"/>
      <c r="C3" s="732"/>
      <c r="D3" s="732"/>
      <c r="E3" s="732"/>
      <c r="F3" s="732"/>
      <c r="G3" s="732"/>
      <c r="H3" s="732"/>
      <c r="I3" s="732"/>
      <c r="J3" s="732"/>
      <c r="K3" s="732"/>
      <c r="L3" s="732"/>
    </row>
    <row r="4" spans="1:12" ht="28.5" customHeight="1">
      <c r="A4" s="733" t="s">
        <v>314</v>
      </c>
      <c r="B4" s="734"/>
      <c r="C4" s="734"/>
      <c r="D4" s="734"/>
      <c r="E4" s="734"/>
      <c r="F4" s="734"/>
      <c r="G4" s="734"/>
      <c r="H4" s="734"/>
      <c r="I4" s="734"/>
      <c r="J4" s="734"/>
      <c r="K4" s="734"/>
      <c r="L4" s="735"/>
    </row>
    <row r="5" spans="1:12" s="334" customFormat="1" ht="40.5" customHeight="1">
      <c r="A5" s="736" t="s">
        <v>2</v>
      </c>
      <c r="B5" s="737"/>
      <c r="C5" s="356" t="s">
        <v>3</v>
      </c>
      <c r="D5" s="356" t="s">
        <v>4</v>
      </c>
      <c r="E5" s="356" t="s">
        <v>5</v>
      </c>
      <c r="F5" s="356" t="s">
        <v>6</v>
      </c>
      <c r="G5" s="356" t="s">
        <v>59</v>
      </c>
      <c r="H5" s="356" t="s">
        <v>8</v>
      </c>
      <c r="I5" s="357" t="s">
        <v>9</v>
      </c>
      <c r="J5" s="356" t="s">
        <v>79</v>
      </c>
      <c r="K5" s="356" t="s">
        <v>247</v>
      </c>
      <c r="L5" s="361" t="s">
        <v>12</v>
      </c>
    </row>
    <row r="6" spans="1:12" s="334" customFormat="1" ht="24.95" customHeight="1">
      <c r="A6" s="728" t="s">
        <v>209</v>
      </c>
      <c r="B6" s="729"/>
      <c r="C6" s="729"/>
      <c r="D6" s="729"/>
      <c r="E6" s="729"/>
      <c r="F6" s="729"/>
      <c r="G6" s="729"/>
      <c r="H6" s="729"/>
      <c r="I6" s="729"/>
      <c r="J6" s="729"/>
      <c r="K6" s="729"/>
      <c r="L6" s="730"/>
    </row>
    <row r="7" spans="1:12" s="333" customFormat="1" ht="20.100000000000001" customHeight="1">
      <c r="A7" s="337">
        <v>1</v>
      </c>
      <c r="B7" s="353" t="s">
        <v>289</v>
      </c>
      <c r="C7" s="344" t="s">
        <v>37</v>
      </c>
      <c r="D7" s="336">
        <v>0</v>
      </c>
      <c r="E7" s="336">
        <v>60</v>
      </c>
      <c r="F7" s="117">
        <f>400/E7</f>
        <v>6.666666666666667</v>
      </c>
      <c r="G7" s="117">
        <f t="shared" ref="G7" si="0">D7/E7</f>
        <v>0</v>
      </c>
      <c r="H7" s="117">
        <f>(G7*F7*E7)</f>
        <v>0</v>
      </c>
      <c r="I7" s="117">
        <v>66</v>
      </c>
      <c r="J7" s="117">
        <f>G7/I7</f>
        <v>0</v>
      </c>
      <c r="K7" s="117">
        <f t="shared" ref="K7" si="1">J7*E7</f>
        <v>0</v>
      </c>
      <c r="L7" s="338"/>
    </row>
    <row r="8" spans="1:12" s="333" customFormat="1" ht="21.95" customHeight="1">
      <c r="A8" s="738" t="s">
        <v>291</v>
      </c>
      <c r="B8" s="739"/>
      <c r="C8" s="340"/>
      <c r="D8" s="339"/>
      <c r="E8" s="339"/>
      <c r="F8" s="339"/>
      <c r="G8" s="339"/>
      <c r="H8" s="339">
        <f>SUM(H7)</f>
        <v>0</v>
      </c>
      <c r="I8" s="339">
        <f>SUM(I7)</f>
        <v>66</v>
      </c>
      <c r="J8" s="340">
        <f>SUM(J7)</f>
        <v>0</v>
      </c>
      <c r="K8" s="339"/>
      <c r="L8" s="341"/>
    </row>
    <row r="9" spans="1:12" s="334" customFormat="1" ht="24.95" customHeight="1">
      <c r="A9" s="742" t="s">
        <v>298</v>
      </c>
      <c r="B9" s="743"/>
      <c r="C9" s="743"/>
      <c r="D9" s="743"/>
      <c r="E9" s="743"/>
      <c r="F9" s="743"/>
      <c r="G9" s="743"/>
      <c r="H9" s="743"/>
      <c r="I9" s="743"/>
      <c r="J9" s="743"/>
      <c r="K9" s="743"/>
      <c r="L9" s="744"/>
    </row>
    <row r="10" spans="1:12" s="333" customFormat="1" ht="20.100000000000001" customHeight="1">
      <c r="A10" s="337">
        <v>1</v>
      </c>
      <c r="B10" s="353" t="s">
        <v>301</v>
      </c>
      <c r="C10" s="358" t="s">
        <v>288</v>
      </c>
      <c r="D10" s="336">
        <v>2000</v>
      </c>
      <c r="E10" s="336">
        <v>80</v>
      </c>
      <c r="F10" s="117">
        <f t="shared" ref="F10:F12" si="2">400/E10</f>
        <v>5</v>
      </c>
      <c r="G10" s="117">
        <f t="shared" ref="G10:G12" si="3">D10/E10</f>
        <v>25</v>
      </c>
      <c r="H10" s="117">
        <f t="shared" ref="H10:H12" si="4">(G10*F10*E10)</f>
        <v>10000</v>
      </c>
      <c r="I10" s="117">
        <v>66</v>
      </c>
      <c r="J10" s="117">
        <f t="shared" ref="J10:J12" si="5">G10/I10</f>
        <v>0.37878787878787878</v>
      </c>
      <c r="K10" s="117">
        <f t="shared" ref="K10:K12" si="6">J10*E10</f>
        <v>30.303030303030305</v>
      </c>
      <c r="L10" s="342"/>
    </row>
    <row r="11" spans="1:12" s="333" customFormat="1" ht="20.100000000000001" customHeight="1">
      <c r="A11" s="337">
        <v>2</v>
      </c>
      <c r="B11" s="354" t="s">
        <v>304</v>
      </c>
      <c r="C11" s="359" t="s">
        <v>288</v>
      </c>
      <c r="D11" s="336">
        <v>4000</v>
      </c>
      <c r="E11" s="336">
        <v>80</v>
      </c>
      <c r="F11" s="117">
        <f t="shared" si="2"/>
        <v>5</v>
      </c>
      <c r="G11" s="117">
        <f t="shared" si="3"/>
        <v>50</v>
      </c>
      <c r="H11" s="117">
        <f t="shared" si="4"/>
        <v>20000</v>
      </c>
      <c r="I11" s="117">
        <v>66</v>
      </c>
      <c r="J11" s="117">
        <f t="shared" si="5"/>
        <v>0.75757575757575757</v>
      </c>
      <c r="K11" s="117">
        <f t="shared" si="6"/>
        <v>60.606060606060609</v>
      </c>
      <c r="L11" s="342"/>
    </row>
    <row r="12" spans="1:12" s="333" customFormat="1" ht="20.100000000000001" customHeight="1">
      <c r="A12" s="337">
        <v>3</v>
      </c>
      <c r="B12" s="354" t="s">
        <v>302</v>
      </c>
      <c r="C12" s="359" t="s">
        <v>37</v>
      </c>
      <c r="D12" s="336">
        <v>0</v>
      </c>
      <c r="E12" s="336">
        <v>250</v>
      </c>
      <c r="F12" s="117">
        <f t="shared" si="2"/>
        <v>1.6</v>
      </c>
      <c r="G12" s="117">
        <f t="shared" si="3"/>
        <v>0</v>
      </c>
      <c r="H12" s="117">
        <f t="shared" si="4"/>
        <v>0</v>
      </c>
      <c r="I12" s="117">
        <v>66</v>
      </c>
      <c r="J12" s="117">
        <f t="shared" si="5"/>
        <v>0</v>
      </c>
      <c r="K12" s="117">
        <f t="shared" si="6"/>
        <v>0</v>
      </c>
      <c r="L12" s="342"/>
    </row>
    <row r="13" spans="1:12" s="333" customFormat="1" ht="21.95" customHeight="1">
      <c r="A13" s="738" t="s">
        <v>291</v>
      </c>
      <c r="B13" s="739"/>
      <c r="C13" s="340"/>
      <c r="D13" s="339"/>
      <c r="E13" s="339"/>
      <c r="F13" s="339"/>
      <c r="G13" s="339"/>
      <c r="H13" s="339">
        <f t="shared" ref="H13:I13" si="7">SUM(H10:H12)</f>
        <v>30000</v>
      </c>
      <c r="I13" s="339">
        <f t="shared" si="7"/>
        <v>198</v>
      </c>
      <c r="J13" s="340">
        <f>SUM(J10:J12)</f>
        <v>1.1363636363636362</v>
      </c>
      <c r="K13" s="339"/>
      <c r="L13" s="341"/>
    </row>
    <row r="14" spans="1:12" s="334" customFormat="1" ht="24.95" customHeight="1">
      <c r="A14" s="742" t="s">
        <v>299</v>
      </c>
      <c r="B14" s="743"/>
      <c r="C14" s="743"/>
      <c r="D14" s="743"/>
      <c r="E14" s="743"/>
      <c r="F14" s="743"/>
      <c r="G14" s="743"/>
      <c r="H14" s="743"/>
      <c r="I14" s="743"/>
      <c r="J14" s="743"/>
      <c r="K14" s="743"/>
      <c r="L14" s="744"/>
    </row>
    <row r="15" spans="1:12" s="333" customFormat="1" ht="20.100000000000001" customHeight="1">
      <c r="A15" s="337">
        <v>1</v>
      </c>
      <c r="B15" s="354" t="s">
        <v>304</v>
      </c>
      <c r="C15" s="359" t="s">
        <v>288</v>
      </c>
      <c r="D15" s="336">
        <v>4000</v>
      </c>
      <c r="E15" s="336">
        <v>80</v>
      </c>
      <c r="F15" s="117">
        <f t="shared" ref="F15:F16" si="8">400/E15</f>
        <v>5</v>
      </c>
      <c r="G15" s="117">
        <f t="shared" ref="G15:G16" si="9">D15/E15</f>
        <v>50</v>
      </c>
      <c r="H15" s="117">
        <f t="shared" ref="H15:H16" si="10">(G15*F15*E15)</f>
        <v>20000</v>
      </c>
      <c r="I15" s="117">
        <v>66</v>
      </c>
      <c r="J15" s="117">
        <f t="shared" ref="J15:J16" si="11">G15/I15</f>
        <v>0.75757575757575757</v>
      </c>
      <c r="K15" s="117">
        <f t="shared" ref="K15:K16" si="12">J15*E15</f>
        <v>60.606060606060609</v>
      </c>
      <c r="L15" s="343"/>
    </row>
    <row r="16" spans="1:12" s="333" customFormat="1" ht="20.100000000000001" customHeight="1">
      <c r="A16" s="337">
        <v>2</v>
      </c>
      <c r="B16" s="336" t="s">
        <v>303</v>
      </c>
      <c r="C16" s="344" t="s">
        <v>227</v>
      </c>
      <c r="D16" s="336">
        <v>5</v>
      </c>
      <c r="E16" s="336">
        <v>1</v>
      </c>
      <c r="F16" s="117">
        <f t="shared" si="8"/>
        <v>400</v>
      </c>
      <c r="G16" s="117">
        <f t="shared" si="9"/>
        <v>5</v>
      </c>
      <c r="H16" s="117">
        <f t="shared" si="10"/>
        <v>2000</v>
      </c>
      <c r="I16" s="117">
        <v>66</v>
      </c>
      <c r="J16" s="117">
        <f t="shared" si="11"/>
        <v>7.575757575757576E-2</v>
      </c>
      <c r="K16" s="117">
        <f t="shared" si="12"/>
        <v>7.575757575757576E-2</v>
      </c>
      <c r="L16" s="345"/>
    </row>
    <row r="17" spans="1:12" s="333" customFormat="1" ht="21.95" customHeight="1">
      <c r="A17" s="738" t="s">
        <v>291</v>
      </c>
      <c r="B17" s="739"/>
      <c r="C17" s="340"/>
      <c r="D17" s="339"/>
      <c r="E17" s="339"/>
      <c r="F17" s="339"/>
      <c r="G17" s="339"/>
      <c r="H17" s="339">
        <f t="shared" ref="H17:I17" si="13">SUM(H15:H16)</f>
        <v>22000</v>
      </c>
      <c r="I17" s="339">
        <f t="shared" si="13"/>
        <v>132</v>
      </c>
      <c r="J17" s="340">
        <f>SUM(J15:J16)</f>
        <v>0.83333333333333337</v>
      </c>
      <c r="K17" s="339"/>
      <c r="L17" s="341"/>
    </row>
    <row r="18" spans="1:12" s="334" customFormat="1" ht="24.95" customHeight="1">
      <c r="A18" s="742" t="s">
        <v>300</v>
      </c>
      <c r="B18" s="743"/>
      <c r="C18" s="743"/>
      <c r="D18" s="743"/>
      <c r="E18" s="743"/>
      <c r="F18" s="743"/>
      <c r="G18" s="743"/>
      <c r="H18" s="743"/>
      <c r="I18" s="743"/>
      <c r="J18" s="743"/>
      <c r="K18" s="743"/>
      <c r="L18" s="744"/>
    </row>
    <row r="19" spans="1:12" s="333" customFormat="1" ht="20.100000000000001" customHeight="1">
      <c r="A19" s="337">
        <v>1</v>
      </c>
      <c r="B19" s="353" t="s">
        <v>301</v>
      </c>
      <c r="C19" s="358" t="s">
        <v>288</v>
      </c>
      <c r="D19" s="346">
        <v>2000</v>
      </c>
      <c r="E19" s="344">
        <v>80</v>
      </c>
      <c r="F19" s="117">
        <f t="shared" ref="F19:F25" si="14">400/E19</f>
        <v>5</v>
      </c>
      <c r="G19" s="117">
        <f t="shared" ref="G19:G25" si="15">D19/E19</f>
        <v>25</v>
      </c>
      <c r="H19" s="117">
        <f t="shared" ref="H19:H25" si="16">(G19*F19*E19)</f>
        <v>10000</v>
      </c>
      <c r="I19" s="117">
        <v>66</v>
      </c>
      <c r="J19" s="117">
        <f t="shared" ref="J19:J25" si="17">G19/I19</f>
        <v>0.37878787878787878</v>
      </c>
      <c r="K19" s="117">
        <f t="shared" ref="K19:K25" si="18">J19*E19</f>
        <v>30.303030303030305</v>
      </c>
      <c r="L19" s="342"/>
    </row>
    <row r="20" spans="1:12" s="333" customFormat="1" ht="20.100000000000001" customHeight="1">
      <c r="A20" s="337">
        <v>2</v>
      </c>
      <c r="B20" s="354" t="s">
        <v>304</v>
      </c>
      <c r="C20" s="359" t="s">
        <v>288</v>
      </c>
      <c r="D20" s="336">
        <v>4000</v>
      </c>
      <c r="E20" s="344">
        <v>80</v>
      </c>
      <c r="F20" s="117">
        <f t="shared" si="14"/>
        <v>5</v>
      </c>
      <c r="G20" s="117">
        <f t="shared" si="15"/>
        <v>50</v>
      </c>
      <c r="H20" s="117">
        <f t="shared" si="16"/>
        <v>20000</v>
      </c>
      <c r="I20" s="117">
        <v>66</v>
      </c>
      <c r="J20" s="117">
        <f t="shared" si="17"/>
        <v>0.75757575757575757</v>
      </c>
      <c r="K20" s="117">
        <f t="shared" si="18"/>
        <v>60.606060606060609</v>
      </c>
      <c r="L20" s="345"/>
    </row>
    <row r="21" spans="1:12" s="333" customFormat="1" ht="20.100000000000001" customHeight="1">
      <c r="A21" s="337">
        <v>3</v>
      </c>
      <c r="B21" s="354" t="s">
        <v>302</v>
      </c>
      <c r="C21" s="359" t="s">
        <v>37</v>
      </c>
      <c r="D21" s="336">
        <v>3000</v>
      </c>
      <c r="E21" s="344">
        <v>250</v>
      </c>
      <c r="F21" s="117">
        <f t="shared" si="14"/>
        <v>1.6</v>
      </c>
      <c r="G21" s="117">
        <f t="shared" si="15"/>
        <v>12</v>
      </c>
      <c r="H21" s="117">
        <f t="shared" si="16"/>
        <v>4800.0000000000009</v>
      </c>
      <c r="I21" s="117">
        <v>66</v>
      </c>
      <c r="J21" s="117">
        <f t="shared" si="17"/>
        <v>0.18181818181818182</v>
      </c>
      <c r="K21" s="117">
        <f t="shared" si="18"/>
        <v>45.454545454545453</v>
      </c>
      <c r="L21" s="345"/>
    </row>
    <row r="22" spans="1:12" s="333" customFormat="1" ht="20.100000000000001" customHeight="1">
      <c r="A22" s="337">
        <v>4</v>
      </c>
      <c r="B22" s="354" t="s">
        <v>303</v>
      </c>
      <c r="C22" s="359" t="s">
        <v>227</v>
      </c>
      <c r="D22" s="336">
        <v>5</v>
      </c>
      <c r="E22" s="344">
        <v>1</v>
      </c>
      <c r="F22" s="117">
        <f t="shared" si="14"/>
        <v>400</v>
      </c>
      <c r="G22" s="117">
        <f t="shared" si="15"/>
        <v>5</v>
      </c>
      <c r="H22" s="117">
        <f t="shared" si="16"/>
        <v>2000</v>
      </c>
      <c r="I22" s="117">
        <v>66</v>
      </c>
      <c r="J22" s="117">
        <f t="shared" si="17"/>
        <v>7.575757575757576E-2</v>
      </c>
      <c r="K22" s="117">
        <f t="shared" si="18"/>
        <v>7.575757575757576E-2</v>
      </c>
      <c r="L22" s="345"/>
    </row>
    <row r="23" spans="1:12" s="333" customFormat="1" ht="20.100000000000001" customHeight="1">
      <c r="A23" s="337">
        <v>5</v>
      </c>
      <c r="B23" s="354" t="s">
        <v>289</v>
      </c>
      <c r="C23" s="359" t="s">
        <v>37</v>
      </c>
      <c r="D23" s="336">
        <v>0</v>
      </c>
      <c r="E23" s="344">
        <v>60</v>
      </c>
      <c r="F23" s="117">
        <f t="shared" si="14"/>
        <v>6.666666666666667</v>
      </c>
      <c r="G23" s="117">
        <f t="shared" si="15"/>
        <v>0</v>
      </c>
      <c r="H23" s="117">
        <f t="shared" si="16"/>
        <v>0</v>
      </c>
      <c r="I23" s="117">
        <v>66</v>
      </c>
      <c r="J23" s="117">
        <f t="shared" si="17"/>
        <v>0</v>
      </c>
      <c r="K23" s="117">
        <f t="shared" si="18"/>
        <v>0</v>
      </c>
      <c r="L23" s="345"/>
    </row>
    <row r="24" spans="1:12" s="333" customFormat="1" ht="20.100000000000001" customHeight="1">
      <c r="A24" s="337">
        <v>6</v>
      </c>
      <c r="B24" s="355" t="s">
        <v>305</v>
      </c>
      <c r="C24" s="360" t="s">
        <v>24</v>
      </c>
      <c r="D24" s="346">
        <v>1000</v>
      </c>
      <c r="E24" s="344">
        <v>300</v>
      </c>
      <c r="F24" s="117">
        <f t="shared" si="14"/>
        <v>1.3333333333333333</v>
      </c>
      <c r="G24" s="117">
        <f t="shared" si="15"/>
        <v>3.3333333333333335</v>
      </c>
      <c r="H24" s="117">
        <f t="shared" si="16"/>
        <v>1333.3333333333335</v>
      </c>
      <c r="I24" s="117">
        <v>66</v>
      </c>
      <c r="J24" s="117">
        <f t="shared" si="17"/>
        <v>5.0505050505050504E-2</v>
      </c>
      <c r="K24" s="117">
        <f t="shared" si="18"/>
        <v>15.15151515151515</v>
      </c>
      <c r="L24" s="345"/>
    </row>
    <row r="25" spans="1:12" s="333" customFormat="1" ht="20.100000000000001" customHeight="1">
      <c r="A25" s="337">
        <v>7</v>
      </c>
      <c r="B25" s="354" t="s">
        <v>292</v>
      </c>
      <c r="C25" s="359" t="s">
        <v>293</v>
      </c>
      <c r="D25" s="346">
        <v>12000</v>
      </c>
      <c r="E25" s="344">
        <v>250</v>
      </c>
      <c r="F25" s="117">
        <f t="shared" si="14"/>
        <v>1.6</v>
      </c>
      <c r="G25" s="117">
        <f t="shared" si="15"/>
        <v>48</v>
      </c>
      <c r="H25" s="117">
        <f t="shared" si="16"/>
        <v>19200.000000000004</v>
      </c>
      <c r="I25" s="117">
        <v>66</v>
      </c>
      <c r="J25" s="117">
        <f t="shared" si="17"/>
        <v>0.72727272727272729</v>
      </c>
      <c r="K25" s="117">
        <f t="shared" si="18"/>
        <v>181.81818181818181</v>
      </c>
      <c r="L25" s="345"/>
    </row>
    <row r="26" spans="1:12" s="334" customFormat="1" ht="21.95" customHeight="1">
      <c r="A26" s="738" t="s">
        <v>291</v>
      </c>
      <c r="B26" s="739"/>
      <c r="C26" s="348"/>
      <c r="D26" s="347"/>
      <c r="E26" s="347"/>
      <c r="F26" s="347"/>
      <c r="G26" s="347"/>
      <c r="H26" s="348">
        <f t="shared" ref="H26:I26" si="19">SUM(H19:H25)</f>
        <v>57333.333333333343</v>
      </c>
      <c r="I26" s="348">
        <f t="shared" si="19"/>
        <v>462</v>
      </c>
      <c r="J26" s="348">
        <f>SUM(J19:J25)</f>
        <v>2.1717171717171717</v>
      </c>
      <c r="K26" s="347"/>
      <c r="L26" s="349"/>
    </row>
    <row r="27" spans="1:12" s="334" customFormat="1" ht="21.95" customHeight="1" thickBot="1">
      <c r="A27" s="740" t="s">
        <v>290</v>
      </c>
      <c r="B27" s="741"/>
      <c r="C27" s="351"/>
      <c r="D27" s="350"/>
      <c r="E27" s="350"/>
      <c r="F27" s="350"/>
      <c r="G27" s="350"/>
      <c r="H27" s="351">
        <f>SUM(H26,H17,H13,H8)</f>
        <v>109333.33333333334</v>
      </c>
      <c r="I27" s="351">
        <f t="shared" ref="I27" si="20">SUM(I26,I17,I13,I8)</f>
        <v>858</v>
      </c>
      <c r="J27" s="351">
        <f>SUM(J26,J17,J13,J8)</f>
        <v>4.1414141414141419</v>
      </c>
      <c r="K27" s="350"/>
      <c r="L27" s="352"/>
    </row>
    <row r="28" spans="1:12" s="335" customFormat="1" ht="32.25" customHeight="1">
      <c r="A28" s="721" t="s">
        <v>321</v>
      </c>
      <c r="B28" s="721"/>
      <c r="C28" s="721"/>
      <c r="D28" s="68"/>
      <c r="E28" s="68"/>
      <c r="F28" s="176"/>
      <c r="G28" s="68" t="s">
        <v>44</v>
      </c>
      <c r="H28" s="68" t="s">
        <v>217</v>
      </c>
      <c r="I28" s="244"/>
      <c r="J28" s="248"/>
      <c r="K28" s="244"/>
      <c r="L28" s="68"/>
    </row>
    <row r="29" spans="1:12" s="334" customFormat="1" ht="43.5" customHeight="1">
      <c r="A29" s="267" t="s">
        <v>318</v>
      </c>
      <c r="B29" s="268"/>
      <c r="C29" s="269" t="s">
        <v>48</v>
      </c>
      <c r="D29" s="270"/>
      <c r="E29" s="269" t="s">
        <v>200</v>
      </c>
      <c r="F29" s="269"/>
      <c r="G29" s="384" t="s">
        <v>319</v>
      </c>
      <c r="H29" s="324" t="s">
        <v>49</v>
      </c>
      <c r="I29" s="270"/>
      <c r="J29" s="324"/>
      <c r="K29" s="324"/>
      <c r="L29" s="39"/>
    </row>
    <row r="30" spans="1:12" ht="18.75">
      <c r="A30" s="271"/>
      <c r="B30" s="272"/>
      <c r="C30" s="271" t="s">
        <v>286</v>
      </c>
      <c r="D30" s="271"/>
      <c r="E30" s="244" t="s">
        <v>52</v>
      </c>
      <c r="F30" s="244"/>
      <c r="G30" s="271"/>
      <c r="H30" s="325" t="s">
        <v>54</v>
      </c>
      <c r="I30" s="271"/>
      <c r="J30" s="325"/>
      <c r="K30" s="323" t="s">
        <v>81</v>
      </c>
      <c r="L30" s="323"/>
    </row>
  </sheetData>
  <mergeCells count="15">
    <mergeCell ref="A26:B26"/>
    <mergeCell ref="A27:B27"/>
    <mergeCell ref="A28:C28"/>
    <mergeCell ref="A8:B8"/>
    <mergeCell ref="A9:L9"/>
    <mergeCell ref="A13:B13"/>
    <mergeCell ref="A14:L14"/>
    <mergeCell ref="A17:B17"/>
    <mergeCell ref="A18:L18"/>
    <mergeCell ref="A6:L6"/>
    <mergeCell ref="A1:L1"/>
    <mergeCell ref="A2:L2"/>
    <mergeCell ref="A3:L3"/>
    <mergeCell ref="A4:L4"/>
    <mergeCell ref="A5:B5"/>
  </mergeCells>
  <printOptions horizontalCentered="1"/>
  <pageMargins left="0.25" right="0.25" top="0.75" bottom="0.75" header="0.3" footer="0.3"/>
  <pageSetup scale="7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8"/>
  <sheetViews>
    <sheetView rightToLeft="1" view="pageBreakPreview" topLeftCell="A25" zoomScale="60" workbookViewId="0">
      <selection activeCell="A35" sqref="A35:L38"/>
    </sheetView>
  </sheetViews>
  <sheetFormatPr defaultColWidth="9.125" defaultRowHeight="15"/>
  <cols>
    <col min="1" max="1" width="7" style="120" customWidth="1"/>
    <col min="2" max="2" width="52" style="120" customWidth="1"/>
    <col min="3" max="3" width="10" style="120" customWidth="1"/>
    <col min="4" max="4" width="17" style="120" bestFit="1" customWidth="1"/>
    <col min="5" max="5" width="13.25" style="120" customWidth="1"/>
    <col min="6" max="6" width="14.625" style="120" customWidth="1"/>
    <col min="7" max="7" width="14.75" style="120" customWidth="1"/>
    <col min="8" max="8" width="18.625" style="120" customWidth="1"/>
    <col min="9" max="10" width="13.125" style="120" customWidth="1"/>
    <col min="11" max="11" width="19" style="120" customWidth="1"/>
    <col min="12" max="12" width="48.375" style="120" customWidth="1"/>
    <col min="13" max="13" width="10.75" style="120" bestFit="1" customWidth="1"/>
    <col min="14" max="14" width="17.625" style="120" customWidth="1"/>
    <col min="15" max="15" width="17" style="120" customWidth="1"/>
    <col min="16" max="16" width="24.125" style="120" customWidth="1"/>
    <col min="17" max="17" width="9.125" style="120"/>
    <col min="18" max="18" width="11.75" style="120" customWidth="1"/>
    <col min="19" max="19" width="9.125" style="120"/>
    <col min="20" max="20" width="13.375" style="120" customWidth="1"/>
    <col min="21" max="16384" width="9.125" style="120"/>
  </cols>
  <sheetData>
    <row r="1" spans="1:18" ht="60.75" customHeight="1">
      <c r="A1" s="750" t="s">
        <v>281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</row>
    <row r="2" spans="1:18" ht="27.75" customHeight="1" thickBot="1">
      <c r="A2" s="751" t="s">
        <v>215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N2" s="34"/>
    </row>
    <row r="3" spans="1:18" ht="36" customHeight="1" thickBot="1">
      <c r="A3" s="776" t="s">
        <v>232</v>
      </c>
      <c r="B3" s="777"/>
      <c r="C3" s="777"/>
      <c r="D3" s="777"/>
      <c r="E3" s="777"/>
      <c r="F3" s="777"/>
      <c r="G3" s="777"/>
      <c r="H3" s="777"/>
      <c r="I3" s="777"/>
      <c r="J3" s="777"/>
      <c r="K3" s="777"/>
      <c r="L3" s="778"/>
    </row>
    <row r="4" spans="1:18" s="141" customFormat="1" ht="32.25" customHeight="1">
      <c r="A4" s="771" t="s">
        <v>209</v>
      </c>
      <c r="B4" s="771"/>
      <c r="C4" s="771"/>
      <c r="D4" s="771"/>
      <c r="E4" s="771"/>
      <c r="F4" s="771"/>
      <c r="G4" s="771"/>
      <c r="H4" s="771"/>
      <c r="I4" s="771"/>
      <c r="J4" s="771"/>
      <c r="K4" s="771"/>
      <c r="L4" s="771"/>
    </row>
    <row r="5" spans="1:18" s="141" customFormat="1" ht="38.25" customHeight="1">
      <c r="A5" s="145" t="s">
        <v>1</v>
      </c>
      <c r="B5" s="146" t="s">
        <v>78</v>
      </c>
      <c r="C5" s="146" t="s">
        <v>3</v>
      </c>
      <c r="D5" s="147" t="s">
        <v>4</v>
      </c>
      <c r="E5" s="147" t="s">
        <v>5</v>
      </c>
      <c r="F5" s="147" t="s">
        <v>6</v>
      </c>
      <c r="G5" s="147" t="s">
        <v>59</v>
      </c>
      <c r="H5" s="147" t="s">
        <v>8</v>
      </c>
      <c r="I5" s="147" t="s">
        <v>210</v>
      </c>
      <c r="J5" s="147" t="s">
        <v>211</v>
      </c>
      <c r="K5" s="147" t="s">
        <v>212</v>
      </c>
      <c r="L5" s="147" t="s">
        <v>12</v>
      </c>
    </row>
    <row r="6" spans="1:18" s="141" customFormat="1" ht="31.5" customHeight="1">
      <c r="A6" s="188"/>
      <c r="B6" s="189" t="s">
        <v>237</v>
      </c>
      <c r="C6" s="189" t="s">
        <v>41</v>
      </c>
      <c r="D6" s="185">
        <v>180</v>
      </c>
      <c r="E6" s="185"/>
      <c r="F6" s="185"/>
      <c r="G6" s="185"/>
      <c r="H6" s="185"/>
      <c r="I6" s="185"/>
      <c r="J6" s="185"/>
      <c r="K6" s="185"/>
      <c r="L6" s="185"/>
    </row>
    <row r="7" spans="1:18" s="44" customFormat="1" ht="28.5" customHeight="1">
      <c r="A7" s="32">
        <v>1</v>
      </c>
      <c r="B7" s="266" t="s">
        <v>278</v>
      </c>
      <c r="C7" s="142" t="s">
        <v>228</v>
      </c>
      <c r="D7" s="144">
        <f>D6*1666/100*20</f>
        <v>59976</v>
      </c>
      <c r="E7" s="162">
        <v>13</v>
      </c>
      <c r="F7" s="162">
        <f>400/E7</f>
        <v>30.76923076923077</v>
      </c>
      <c r="G7" s="162">
        <f>D7*1/E7</f>
        <v>4613.5384615384619</v>
      </c>
      <c r="H7" s="142">
        <f>G7*F7*E7</f>
        <v>1845415.3846153847</v>
      </c>
      <c r="I7" s="42">
        <v>22</v>
      </c>
      <c r="J7" s="143">
        <f>G7/I7</f>
        <v>209.70629370629374</v>
      </c>
      <c r="K7" s="42">
        <f>J7*E7</f>
        <v>2726.1818181818185</v>
      </c>
      <c r="L7" s="113" t="s">
        <v>221</v>
      </c>
    </row>
    <row r="8" spans="1:18" s="44" customFormat="1" ht="23.25" customHeight="1">
      <c r="A8" s="32">
        <v>2</v>
      </c>
      <c r="B8" s="187" t="s">
        <v>202</v>
      </c>
      <c r="C8" s="142" t="s">
        <v>14</v>
      </c>
      <c r="D8" s="144">
        <f>D6/100*10*1000/100*20</f>
        <v>3600</v>
      </c>
      <c r="E8" s="162">
        <v>13</v>
      </c>
      <c r="F8" s="162">
        <f t="shared" ref="F8:F10" si="0">400/E8</f>
        <v>30.76923076923077</v>
      </c>
      <c r="G8" s="162">
        <f t="shared" ref="G8:G10" si="1">D8*1/E8</f>
        <v>276.92307692307691</v>
      </c>
      <c r="H8" s="42">
        <f t="shared" ref="H8:H10" si="2">G8*F8*E8</f>
        <v>110769.23076923077</v>
      </c>
      <c r="I8" s="42">
        <v>22</v>
      </c>
      <c r="J8" s="143">
        <f t="shared" ref="J8:J10" si="3">G8/I8</f>
        <v>12.587412587412587</v>
      </c>
      <c r="K8" s="42">
        <f t="shared" ref="K8:K10" si="4">J8*E8</f>
        <v>163.63636363636363</v>
      </c>
      <c r="L8" s="113" t="s">
        <v>221</v>
      </c>
    </row>
    <row r="9" spans="1:18" s="44" customFormat="1" ht="23.25" customHeight="1">
      <c r="A9" s="32">
        <v>3</v>
      </c>
      <c r="B9" s="187" t="s">
        <v>203</v>
      </c>
      <c r="C9" s="142" t="s">
        <v>227</v>
      </c>
      <c r="D9" s="144">
        <f>D6*2/100*20</f>
        <v>72</v>
      </c>
      <c r="E9" s="162">
        <v>0.5</v>
      </c>
      <c r="F9" s="162">
        <f t="shared" si="0"/>
        <v>800</v>
      </c>
      <c r="G9" s="162">
        <f t="shared" si="1"/>
        <v>144</v>
      </c>
      <c r="H9" s="42">
        <f t="shared" si="2"/>
        <v>57600</v>
      </c>
      <c r="I9" s="42">
        <v>22</v>
      </c>
      <c r="J9" s="143">
        <f t="shared" si="3"/>
        <v>6.5454545454545459</v>
      </c>
      <c r="K9" s="42">
        <f t="shared" si="4"/>
        <v>3.2727272727272729</v>
      </c>
      <c r="L9" s="113" t="s">
        <v>221</v>
      </c>
    </row>
    <row r="10" spans="1:18" s="44" customFormat="1" ht="23.25" customHeight="1">
      <c r="A10" s="32">
        <v>4</v>
      </c>
      <c r="B10" s="187" t="s">
        <v>204</v>
      </c>
      <c r="C10" s="142" t="s">
        <v>229</v>
      </c>
      <c r="D10" s="144">
        <f>D6*800/100*20</f>
        <v>28800</v>
      </c>
      <c r="E10" s="162">
        <v>13</v>
      </c>
      <c r="F10" s="162">
        <f t="shared" si="0"/>
        <v>30.76923076923077</v>
      </c>
      <c r="G10" s="162">
        <f t="shared" si="1"/>
        <v>2215.3846153846152</v>
      </c>
      <c r="H10" s="42">
        <f t="shared" si="2"/>
        <v>886153.84615384613</v>
      </c>
      <c r="I10" s="42">
        <v>22</v>
      </c>
      <c r="J10" s="143">
        <f t="shared" si="3"/>
        <v>100.69930069930069</v>
      </c>
      <c r="K10" s="42">
        <f t="shared" si="4"/>
        <v>1309.090909090909</v>
      </c>
      <c r="L10" s="139" t="s">
        <v>221</v>
      </c>
    </row>
    <row r="11" spans="1:18" s="44" customFormat="1" ht="29.25" customHeight="1">
      <c r="A11" s="772" t="s">
        <v>220</v>
      </c>
      <c r="B11" s="772"/>
      <c r="C11" s="772"/>
      <c r="D11" s="150"/>
      <c r="E11" s="151"/>
      <c r="F11" s="151"/>
      <c r="G11" s="186">
        <f>SUM(G7:G10)</f>
        <v>7249.8461538461543</v>
      </c>
      <c r="H11" s="186">
        <f>SUM(H7:H10)</f>
        <v>2899938.4615384615</v>
      </c>
      <c r="I11" s="186"/>
      <c r="J11" s="152">
        <f>SUM(J7:J10)</f>
        <v>329.53846153846155</v>
      </c>
      <c r="K11" s="773"/>
      <c r="L11" s="773"/>
    </row>
    <row r="12" spans="1:18" ht="37.5" customHeight="1">
      <c r="A12" s="765" t="s">
        <v>149</v>
      </c>
      <c r="B12" s="765"/>
      <c r="C12" s="765"/>
      <c r="D12" s="765"/>
      <c r="E12" s="765"/>
      <c r="F12" s="765"/>
      <c r="G12" s="765"/>
      <c r="H12" s="765"/>
      <c r="I12" s="765"/>
      <c r="J12" s="765"/>
      <c r="K12" s="765"/>
      <c r="L12" s="765"/>
    </row>
    <row r="13" spans="1:18" ht="36" customHeight="1">
      <c r="A13" s="149" t="s">
        <v>1</v>
      </c>
      <c r="B13" s="147" t="s">
        <v>78</v>
      </c>
      <c r="C13" s="147" t="s">
        <v>3</v>
      </c>
      <c r="D13" s="147" t="s">
        <v>4</v>
      </c>
      <c r="E13" s="147" t="s">
        <v>5</v>
      </c>
      <c r="F13" s="147" t="s">
        <v>6</v>
      </c>
      <c r="G13" s="147" t="s">
        <v>59</v>
      </c>
      <c r="H13" s="147" t="s">
        <v>60</v>
      </c>
      <c r="I13" s="147" t="s">
        <v>9</v>
      </c>
      <c r="J13" s="147" t="s">
        <v>79</v>
      </c>
      <c r="K13" s="148" t="s">
        <v>86</v>
      </c>
      <c r="L13" s="148" t="s">
        <v>12</v>
      </c>
    </row>
    <row r="14" spans="1:18" ht="23.25" customHeight="1">
      <c r="A14" s="37">
        <v>1</v>
      </c>
      <c r="B14" s="266" t="s">
        <v>278</v>
      </c>
      <c r="C14" s="7" t="s">
        <v>14</v>
      </c>
      <c r="D14" s="144">
        <f>D6*1666/100*40</f>
        <v>119952</v>
      </c>
      <c r="E14" s="162">
        <v>13</v>
      </c>
      <c r="F14" s="162">
        <f>400/E14</f>
        <v>30.76923076923077</v>
      </c>
      <c r="G14" s="162">
        <f>D14*1/E14</f>
        <v>9227.0769230769238</v>
      </c>
      <c r="H14" s="142">
        <f>G14*F14*E14</f>
        <v>3690830.7692307695</v>
      </c>
      <c r="I14" s="42">
        <v>66</v>
      </c>
      <c r="J14" s="143">
        <f>G14/I14</f>
        <v>139.80419580419581</v>
      </c>
      <c r="K14" s="42">
        <f>J14*E14</f>
        <v>1817.4545454545455</v>
      </c>
      <c r="L14" s="57" t="s">
        <v>222</v>
      </c>
      <c r="M14" s="112"/>
      <c r="R14" s="34"/>
    </row>
    <row r="15" spans="1:18" ht="23.25" customHeight="1">
      <c r="A15" s="37">
        <v>2</v>
      </c>
      <c r="B15" s="187" t="s">
        <v>202</v>
      </c>
      <c r="C15" s="7" t="s">
        <v>14</v>
      </c>
      <c r="D15" s="144">
        <f>D6/100*10*1000/100*40</f>
        <v>7200</v>
      </c>
      <c r="E15" s="162">
        <v>13</v>
      </c>
      <c r="F15" s="162">
        <f t="shared" ref="F15:F17" si="5">400/E15</f>
        <v>30.76923076923077</v>
      </c>
      <c r="G15" s="162">
        <f t="shared" ref="G15:G17" si="6">D15*1/E15</f>
        <v>553.84615384615381</v>
      </c>
      <c r="H15" s="142">
        <f t="shared" ref="H15:H17" si="7">G15*F15*E15</f>
        <v>221538.46153846153</v>
      </c>
      <c r="I15" s="42">
        <v>66</v>
      </c>
      <c r="J15" s="143">
        <f t="shared" ref="J15:J17" si="8">G15/I15</f>
        <v>8.3916083916083917</v>
      </c>
      <c r="K15" s="42">
        <f t="shared" ref="K15:K17" si="9">J15*E15</f>
        <v>109.09090909090909</v>
      </c>
      <c r="L15" s="57" t="s">
        <v>222</v>
      </c>
      <c r="M15" s="112"/>
      <c r="R15" s="34"/>
    </row>
    <row r="16" spans="1:18" ht="23.25" customHeight="1">
      <c r="A16" s="37">
        <v>3</v>
      </c>
      <c r="B16" s="187" t="s">
        <v>203</v>
      </c>
      <c r="C16" s="7" t="s">
        <v>227</v>
      </c>
      <c r="D16" s="144">
        <f>D6*2/100*40</f>
        <v>144</v>
      </c>
      <c r="E16" s="162">
        <v>0.5</v>
      </c>
      <c r="F16" s="162">
        <f t="shared" si="5"/>
        <v>800</v>
      </c>
      <c r="G16" s="162">
        <f t="shared" si="6"/>
        <v>288</v>
      </c>
      <c r="H16" s="142">
        <f t="shared" si="7"/>
        <v>115200</v>
      </c>
      <c r="I16" s="42">
        <v>66</v>
      </c>
      <c r="J16" s="143">
        <f t="shared" si="8"/>
        <v>4.3636363636363633</v>
      </c>
      <c r="K16" s="42">
        <f t="shared" si="9"/>
        <v>2.1818181818181817</v>
      </c>
      <c r="L16" s="57" t="s">
        <v>222</v>
      </c>
      <c r="M16" s="112"/>
      <c r="R16" s="34"/>
    </row>
    <row r="17" spans="1:18" ht="23.25" customHeight="1">
      <c r="A17" s="37">
        <v>4</v>
      </c>
      <c r="B17" s="187" t="s">
        <v>204</v>
      </c>
      <c r="C17" s="7" t="s">
        <v>229</v>
      </c>
      <c r="D17" s="144">
        <f>D6*800/100*40</f>
        <v>57600</v>
      </c>
      <c r="E17" s="162">
        <v>13</v>
      </c>
      <c r="F17" s="162">
        <f t="shared" si="5"/>
        <v>30.76923076923077</v>
      </c>
      <c r="G17" s="162">
        <f t="shared" si="6"/>
        <v>4430.7692307692305</v>
      </c>
      <c r="H17" s="142">
        <f t="shared" si="7"/>
        <v>1772307.6923076923</v>
      </c>
      <c r="I17" s="42">
        <v>66</v>
      </c>
      <c r="J17" s="143">
        <f t="shared" si="8"/>
        <v>67.132867132867133</v>
      </c>
      <c r="K17" s="42">
        <f t="shared" si="9"/>
        <v>872.72727272727275</v>
      </c>
      <c r="L17" s="57" t="s">
        <v>222</v>
      </c>
      <c r="M17" s="112"/>
      <c r="R17" s="34"/>
    </row>
    <row r="18" spans="1:18" ht="30" customHeight="1">
      <c r="A18" s="766" t="s">
        <v>213</v>
      </c>
      <c r="B18" s="766"/>
      <c r="C18" s="154"/>
      <c r="D18" s="155"/>
      <c r="E18" s="156"/>
      <c r="F18" s="157"/>
      <c r="G18" s="158">
        <f>SUM(G14:G17)</f>
        <v>14499.692307692309</v>
      </c>
      <c r="H18" s="156">
        <f>SUM(H14:H17)</f>
        <v>5799876.923076923</v>
      </c>
      <c r="I18" s="159"/>
      <c r="J18" s="160">
        <f>SUM(J14:J17)</f>
        <v>219.69230769230774</v>
      </c>
      <c r="K18" s="767"/>
      <c r="L18" s="767"/>
      <c r="M18" s="112"/>
      <c r="R18" s="34"/>
    </row>
    <row r="19" spans="1:18" ht="33" customHeight="1">
      <c r="A19" s="765" t="s">
        <v>61</v>
      </c>
      <c r="B19" s="765"/>
      <c r="C19" s="765"/>
      <c r="D19" s="765"/>
      <c r="E19" s="765"/>
      <c r="F19" s="765"/>
      <c r="G19" s="765"/>
      <c r="H19" s="765"/>
      <c r="I19" s="765"/>
      <c r="J19" s="765"/>
      <c r="K19" s="765"/>
      <c r="L19" s="765"/>
    </row>
    <row r="20" spans="1:18" ht="48.75" customHeight="1">
      <c r="A20" s="149" t="s">
        <v>1</v>
      </c>
      <c r="B20" s="147" t="s">
        <v>78</v>
      </c>
      <c r="C20" s="147" t="s">
        <v>3</v>
      </c>
      <c r="D20" s="147" t="s">
        <v>4</v>
      </c>
      <c r="E20" s="147" t="s">
        <v>5</v>
      </c>
      <c r="F20" s="147" t="s">
        <v>6</v>
      </c>
      <c r="G20" s="147" t="s">
        <v>59</v>
      </c>
      <c r="H20" s="147" t="s">
        <v>60</v>
      </c>
      <c r="I20" s="147" t="s">
        <v>9</v>
      </c>
      <c r="J20" s="147" t="s">
        <v>79</v>
      </c>
      <c r="K20" s="148" t="s">
        <v>86</v>
      </c>
      <c r="L20" s="148" t="s">
        <v>12</v>
      </c>
    </row>
    <row r="21" spans="1:18" ht="23.25" customHeight="1">
      <c r="A21" s="37">
        <v>1</v>
      </c>
      <c r="B21" s="266" t="s">
        <v>278</v>
      </c>
      <c r="C21" s="7" t="s">
        <v>14</v>
      </c>
      <c r="D21" s="144">
        <f>D6*1666/100*40</f>
        <v>119952</v>
      </c>
      <c r="E21" s="162">
        <v>13</v>
      </c>
      <c r="F21" s="162">
        <f>400/E21</f>
        <v>30.76923076923077</v>
      </c>
      <c r="G21" s="162">
        <f>D21*1/E21</f>
        <v>9227.0769230769238</v>
      </c>
      <c r="H21" s="142">
        <f>G21*F21*E21</f>
        <v>3690830.7692307695</v>
      </c>
      <c r="I21" s="42">
        <v>66</v>
      </c>
      <c r="J21" s="143">
        <f>G21/I21</f>
        <v>139.80419580419581</v>
      </c>
      <c r="K21" s="42">
        <f>J21*E21</f>
        <v>1817.4545454545455</v>
      </c>
      <c r="L21" s="57" t="s">
        <v>223</v>
      </c>
      <c r="M21" s="112"/>
      <c r="R21" s="34"/>
    </row>
    <row r="22" spans="1:18" ht="23.25" customHeight="1">
      <c r="A22" s="37">
        <v>2</v>
      </c>
      <c r="B22" s="187" t="s">
        <v>202</v>
      </c>
      <c r="C22" s="7" t="s">
        <v>14</v>
      </c>
      <c r="D22" s="144">
        <f>D6/100*10*1000/100*40</f>
        <v>7200</v>
      </c>
      <c r="E22" s="162">
        <v>13</v>
      </c>
      <c r="F22" s="162">
        <f t="shared" ref="F22:F24" si="10">400/E22</f>
        <v>30.76923076923077</v>
      </c>
      <c r="G22" s="162">
        <f t="shared" ref="G22:G24" si="11">D22*1/E22</f>
        <v>553.84615384615381</v>
      </c>
      <c r="H22" s="142">
        <f t="shared" ref="H22:H24" si="12">G22*F22*E22</f>
        <v>221538.46153846153</v>
      </c>
      <c r="I22" s="42">
        <v>66</v>
      </c>
      <c r="J22" s="143">
        <f t="shared" ref="J22:J24" si="13">G22/I22</f>
        <v>8.3916083916083917</v>
      </c>
      <c r="K22" s="42">
        <f t="shared" ref="K22:K24" si="14">J22*E22</f>
        <v>109.09090909090909</v>
      </c>
      <c r="L22" s="57" t="s">
        <v>223</v>
      </c>
      <c r="M22" s="112"/>
      <c r="R22" s="34"/>
    </row>
    <row r="23" spans="1:18" ht="23.25" customHeight="1">
      <c r="A23" s="37">
        <v>3</v>
      </c>
      <c r="B23" s="187" t="s">
        <v>203</v>
      </c>
      <c r="C23" s="7" t="s">
        <v>227</v>
      </c>
      <c r="D23" s="144">
        <f>D6*2/100*40</f>
        <v>144</v>
      </c>
      <c r="E23" s="162">
        <v>0.5</v>
      </c>
      <c r="F23" s="162">
        <f t="shared" si="10"/>
        <v>800</v>
      </c>
      <c r="G23" s="162">
        <f t="shared" si="11"/>
        <v>288</v>
      </c>
      <c r="H23" s="142">
        <f t="shared" si="12"/>
        <v>115200</v>
      </c>
      <c r="I23" s="42">
        <v>66</v>
      </c>
      <c r="J23" s="143">
        <f t="shared" si="13"/>
        <v>4.3636363636363633</v>
      </c>
      <c r="K23" s="42">
        <f t="shared" si="14"/>
        <v>2.1818181818181817</v>
      </c>
      <c r="L23" s="57" t="s">
        <v>223</v>
      </c>
      <c r="M23" s="112"/>
      <c r="R23" s="34"/>
    </row>
    <row r="24" spans="1:18" ht="23.25" customHeight="1">
      <c r="A24" s="37">
        <v>4</v>
      </c>
      <c r="B24" s="187" t="s">
        <v>204</v>
      </c>
      <c r="C24" s="7" t="s">
        <v>229</v>
      </c>
      <c r="D24" s="144">
        <f>D6*800/100*40</f>
        <v>57600</v>
      </c>
      <c r="E24" s="162">
        <v>13</v>
      </c>
      <c r="F24" s="162">
        <f t="shared" si="10"/>
        <v>30.76923076923077</v>
      </c>
      <c r="G24" s="162">
        <f t="shared" si="11"/>
        <v>4430.7692307692305</v>
      </c>
      <c r="H24" s="142">
        <f t="shared" si="12"/>
        <v>1772307.6923076923</v>
      </c>
      <c r="I24" s="42">
        <v>66</v>
      </c>
      <c r="J24" s="143">
        <f t="shared" si="13"/>
        <v>67.132867132867133</v>
      </c>
      <c r="K24" s="42">
        <f t="shared" si="14"/>
        <v>872.72727272727275</v>
      </c>
      <c r="L24" s="57" t="s">
        <v>223</v>
      </c>
      <c r="M24" s="112"/>
      <c r="R24" s="34"/>
    </row>
    <row r="25" spans="1:18" ht="33" customHeight="1">
      <c r="A25" s="766" t="s">
        <v>214</v>
      </c>
      <c r="B25" s="766"/>
      <c r="C25" s="154"/>
      <c r="D25" s="155"/>
      <c r="E25" s="156"/>
      <c r="F25" s="157"/>
      <c r="G25" s="158">
        <f>SUM(G21:G24)</f>
        <v>14499.692307692309</v>
      </c>
      <c r="H25" s="156">
        <f>SUM(H21:H24)</f>
        <v>5799876.923076923</v>
      </c>
      <c r="I25" s="159"/>
      <c r="J25" s="160">
        <f>SUM(J21:J24)</f>
        <v>219.69230769230774</v>
      </c>
      <c r="K25" s="767"/>
      <c r="L25" s="767"/>
      <c r="M25" s="112"/>
      <c r="R25" s="34"/>
    </row>
    <row r="26" spans="1:18" ht="32.25" customHeight="1">
      <c r="A26" s="765" t="s">
        <v>207</v>
      </c>
      <c r="B26" s="765"/>
      <c r="C26" s="765"/>
      <c r="D26" s="765"/>
      <c r="E26" s="765"/>
      <c r="F26" s="765"/>
      <c r="G26" s="765"/>
      <c r="H26" s="765"/>
      <c r="I26" s="765"/>
      <c r="J26" s="765"/>
      <c r="K26" s="765"/>
      <c r="L26" s="765"/>
      <c r="M26" s="43"/>
      <c r="N26" s="43"/>
    </row>
    <row r="27" spans="1:18" ht="45" customHeight="1">
      <c r="A27" s="149" t="s">
        <v>1</v>
      </c>
      <c r="B27" s="147" t="s">
        <v>78</v>
      </c>
      <c r="C27" s="147" t="s">
        <v>3</v>
      </c>
      <c r="D27" s="147" t="s">
        <v>4</v>
      </c>
      <c r="E27" s="147" t="s">
        <v>5</v>
      </c>
      <c r="F27" s="147" t="s">
        <v>6</v>
      </c>
      <c r="G27" s="147" t="s">
        <v>59</v>
      </c>
      <c r="H27" s="147" t="s">
        <v>60</v>
      </c>
      <c r="I27" s="147" t="s">
        <v>9</v>
      </c>
      <c r="J27" s="147" t="s">
        <v>79</v>
      </c>
      <c r="K27" s="148" t="s">
        <v>86</v>
      </c>
      <c r="L27" s="148" t="s">
        <v>12</v>
      </c>
    </row>
    <row r="28" spans="1:18" ht="23.25" customHeight="1">
      <c r="A28" s="37">
        <v>1</v>
      </c>
      <c r="B28" s="266" t="s">
        <v>280</v>
      </c>
      <c r="C28" s="7" t="s">
        <v>28</v>
      </c>
      <c r="D28" s="166">
        <f>D6*400</f>
        <v>72000</v>
      </c>
      <c r="E28" s="162">
        <v>50</v>
      </c>
      <c r="F28" s="162">
        <f>400/E28</f>
        <v>8</v>
      </c>
      <c r="G28" s="162">
        <f>D28*1/E28</f>
        <v>1440</v>
      </c>
      <c r="H28" s="162">
        <f>G28*F28*E28</f>
        <v>576000</v>
      </c>
      <c r="I28" s="162">
        <v>22</v>
      </c>
      <c r="J28" s="162">
        <f>G28/I28</f>
        <v>65.454545454545453</v>
      </c>
      <c r="K28" s="162">
        <f>J28*E28</f>
        <v>3272.7272727272725</v>
      </c>
      <c r="L28" s="57" t="s">
        <v>224</v>
      </c>
      <c r="M28" s="112"/>
      <c r="R28" s="34"/>
    </row>
    <row r="29" spans="1:18" ht="23.25" customHeight="1">
      <c r="A29" s="37">
        <v>2</v>
      </c>
      <c r="B29" s="187" t="s">
        <v>206</v>
      </c>
      <c r="C29" s="7" t="s">
        <v>41</v>
      </c>
      <c r="D29" s="166">
        <f>D6/100*20</f>
        <v>36</v>
      </c>
      <c r="E29" s="162">
        <v>1</v>
      </c>
      <c r="F29" s="162">
        <f t="shared" ref="F29:F31" si="15">400/E29</f>
        <v>400</v>
      </c>
      <c r="G29" s="162">
        <f t="shared" ref="G29:G31" si="16">D29*1/E29</f>
        <v>36</v>
      </c>
      <c r="H29" s="162">
        <f t="shared" ref="H29:H31" si="17">G29*F29*E29</f>
        <v>14400</v>
      </c>
      <c r="I29" s="162">
        <v>22</v>
      </c>
      <c r="J29" s="162">
        <f t="shared" ref="J29:J31" si="18">G29/I29</f>
        <v>1.6363636363636365</v>
      </c>
      <c r="K29" s="162">
        <f t="shared" ref="K29:K31" si="19">J29*E29</f>
        <v>1.6363636363636365</v>
      </c>
      <c r="L29" s="57" t="s">
        <v>224</v>
      </c>
      <c r="M29" s="112"/>
      <c r="R29" s="34"/>
    </row>
    <row r="30" spans="1:18" ht="23.25" customHeight="1">
      <c r="A30" s="37">
        <v>3</v>
      </c>
      <c r="B30" s="266" t="s">
        <v>279</v>
      </c>
      <c r="C30" s="7" t="s">
        <v>229</v>
      </c>
      <c r="D30" s="166">
        <f>D6*400</f>
        <v>72000</v>
      </c>
      <c r="E30" s="162">
        <v>200</v>
      </c>
      <c r="F30" s="162">
        <f t="shared" si="15"/>
        <v>2</v>
      </c>
      <c r="G30" s="162">
        <f t="shared" si="16"/>
        <v>360</v>
      </c>
      <c r="H30" s="162">
        <f t="shared" si="17"/>
        <v>144000</v>
      </c>
      <c r="I30" s="162">
        <v>22</v>
      </c>
      <c r="J30" s="162">
        <f t="shared" si="18"/>
        <v>16.363636363636363</v>
      </c>
      <c r="K30" s="162">
        <f t="shared" si="19"/>
        <v>3272.7272727272725</v>
      </c>
      <c r="L30" s="57" t="s">
        <v>224</v>
      </c>
      <c r="M30" s="112"/>
      <c r="R30" s="34"/>
    </row>
    <row r="31" spans="1:18" ht="23.25" customHeight="1">
      <c r="A31" s="37">
        <v>4</v>
      </c>
      <c r="B31" s="187" t="s">
        <v>230</v>
      </c>
      <c r="C31" s="7"/>
      <c r="D31" s="166">
        <f>D28</f>
        <v>72000</v>
      </c>
      <c r="E31" s="162">
        <v>250</v>
      </c>
      <c r="F31" s="162">
        <f t="shared" si="15"/>
        <v>1.6</v>
      </c>
      <c r="G31" s="162">
        <f t="shared" si="16"/>
        <v>288</v>
      </c>
      <c r="H31" s="162">
        <f t="shared" si="17"/>
        <v>115200</v>
      </c>
      <c r="I31" s="162">
        <v>22</v>
      </c>
      <c r="J31" s="162">
        <f t="shared" si="18"/>
        <v>13.090909090909092</v>
      </c>
      <c r="K31" s="162">
        <f t="shared" si="19"/>
        <v>3272.727272727273</v>
      </c>
      <c r="L31" s="57"/>
      <c r="M31" s="112"/>
      <c r="R31" s="34"/>
    </row>
    <row r="32" spans="1:18" ht="35.25" customHeight="1">
      <c r="A32" s="766" t="s">
        <v>208</v>
      </c>
      <c r="B32" s="766"/>
      <c r="C32" s="161"/>
      <c r="D32" s="161"/>
      <c r="E32" s="161"/>
      <c r="F32" s="163"/>
      <c r="G32" s="163">
        <f>SUM(G28:G30)</f>
        <v>1836</v>
      </c>
      <c r="H32" s="163">
        <f>SUM(H28:H31)</f>
        <v>849600</v>
      </c>
      <c r="I32" s="164"/>
      <c r="J32" s="165">
        <f>SUM(J28:J31)</f>
        <v>96.545454545454547</v>
      </c>
      <c r="K32" s="766"/>
      <c r="L32" s="766"/>
      <c r="M32" s="112"/>
      <c r="R32" s="34"/>
    </row>
    <row r="33" spans="1:12" ht="34.5" customHeight="1">
      <c r="A33" s="726" t="s">
        <v>233</v>
      </c>
      <c r="B33" s="726"/>
      <c r="C33" s="69"/>
      <c r="D33" s="70"/>
      <c r="E33" s="70"/>
      <c r="F33" s="70"/>
      <c r="G33" s="71"/>
      <c r="H33" s="71">
        <f>H11+H18+H25+H32</f>
        <v>15349292.307692308</v>
      </c>
      <c r="I33" s="71"/>
      <c r="J33" s="71"/>
      <c r="K33" s="183"/>
      <c r="L33" s="184"/>
    </row>
    <row r="34" spans="1:12" ht="35.25" customHeight="1">
      <c r="A34" s="727" t="s">
        <v>234</v>
      </c>
      <c r="B34" s="727"/>
      <c r="C34" s="178"/>
      <c r="D34" s="179"/>
      <c r="E34" s="179"/>
      <c r="F34" s="179"/>
      <c r="G34" s="180"/>
      <c r="H34" s="180">
        <f>H33/68</f>
        <v>225724.88687782804</v>
      </c>
      <c r="I34" s="180"/>
      <c r="J34" s="180"/>
      <c r="K34" s="181"/>
      <c r="L34" s="182"/>
    </row>
    <row r="35" spans="1:12" s="244" customFormat="1" ht="42.75" customHeight="1">
      <c r="A35" s="764" t="s">
        <v>43</v>
      </c>
      <c r="B35" s="764"/>
      <c r="D35" s="132" t="s">
        <v>44</v>
      </c>
      <c r="E35" s="68" t="s">
        <v>217</v>
      </c>
      <c r="F35" s="176"/>
      <c r="G35" s="176"/>
      <c r="J35" s="248" t="s">
        <v>198</v>
      </c>
      <c r="L35" s="177"/>
    </row>
    <row r="36" spans="1:12" s="244" customFormat="1" ht="36" customHeight="1">
      <c r="A36" s="176" t="s">
        <v>236</v>
      </c>
      <c r="B36" s="247"/>
      <c r="C36" s="248"/>
      <c r="D36" s="68"/>
      <c r="E36" s="243" t="s">
        <v>238</v>
      </c>
      <c r="F36" s="243"/>
      <c r="G36" s="176"/>
      <c r="J36" s="244" t="s">
        <v>199</v>
      </c>
      <c r="L36" s="177"/>
    </row>
    <row r="37" spans="1:12" s="270" customFormat="1" ht="44.25" customHeight="1">
      <c r="A37" s="267" t="s">
        <v>89</v>
      </c>
      <c r="B37" s="268"/>
      <c r="C37" s="269" t="s">
        <v>200</v>
      </c>
      <c r="G37" s="39" t="s">
        <v>48</v>
      </c>
      <c r="J37" s="774" t="s">
        <v>49</v>
      </c>
      <c r="K37" s="774"/>
      <c r="L37" s="39"/>
    </row>
    <row r="38" spans="1:12" s="244" customFormat="1" ht="35.25" customHeight="1">
      <c r="B38" s="252"/>
      <c r="C38" s="244" t="s">
        <v>52</v>
      </c>
      <c r="G38" s="244" t="s">
        <v>53</v>
      </c>
      <c r="J38" s="775" t="s">
        <v>54</v>
      </c>
      <c r="K38" s="775"/>
      <c r="L38" s="253" t="s">
        <v>81</v>
      </c>
    </row>
  </sheetData>
  <mergeCells count="20">
    <mergeCell ref="A26:L26"/>
    <mergeCell ref="A32:B32"/>
    <mergeCell ref="A12:L12"/>
    <mergeCell ref="A18:B18"/>
    <mergeCell ref="K18:L18"/>
    <mergeCell ref="A19:L19"/>
    <mergeCell ref="A25:B25"/>
    <mergeCell ref="K25:L25"/>
    <mergeCell ref="K32:L32"/>
    <mergeCell ref="A1:L1"/>
    <mergeCell ref="A2:L2"/>
    <mergeCell ref="A3:L3"/>
    <mergeCell ref="A4:L4"/>
    <mergeCell ref="A11:C11"/>
    <mergeCell ref="K11:L11"/>
    <mergeCell ref="A33:B33"/>
    <mergeCell ref="A34:B34"/>
    <mergeCell ref="J37:K37"/>
    <mergeCell ref="J38:K38"/>
    <mergeCell ref="A35:B35"/>
  </mergeCells>
  <printOptions horizontalCentered="1"/>
  <pageMargins left="0.35" right="0.36" top="0.32" bottom="0.28999999999999998" header="0.17" footer="0.18"/>
  <pageSetup paperSize="9" scale="4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40"/>
  <sheetViews>
    <sheetView rightToLeft="1" view="pageBreakPreview" topLeftCell="A2" zoomScale="60" workbookViewId="0">
      <selection activeCell="D32" sqref="D32"/>
    </sheetView>
  </sheetViews>
  <sheetFormatPr defaultColWidth="9.125" defaultRowHeight="15"/>
  <cols>
    <col min="1" max="1" width="7" style="120" customWidth="1"/>
    <col min="2" max="2" width="48.25" style="120" customWidth="1"/>
    <col min="3" max="3" width="10" style="120" customWidth="1"/>
    <col min="4" max="4" width="17" style="120" bestFit="1" customWidth="1"/>
    <col min="5" max="5" width="13.25" style="120" customWidth="1"/>
    <col min="6" max="6" width="14.625" style="120" customWidth="1"/>
    <col min="7" max="7" width="14.75" style="120" customWidth="1"/>
    <col min="8" max="8" width="18.625" style="120" customWidth="1"/>
    <col min="9" max="10" width="13.125" style="120" customWidth="1"/>
    <col min="11" max="11" width="19" style="120" customWidth="1"/>
    <col min="12" max="12" width="48.375" style="120" customWidth="1"/>
    <col min="13" max="13" width="10.75" style="120" bestFit="1" customWidth="1"/>
    <col min="14" max="14" width="17.625" style="120" customWidth="1"/>
    <col min="15" max="15" width="17" style="120" customWidth="1"/>
    <col min="16" max="16" width="24.125" style="120" customWidth="1"/>
    <col min="17" max="17" width="9.125" style="120"/>
    <col min="18" max="18" width="11.75" style="120" customWidth="1"/>
    <col min="19" max="19" width="9.125" style="120"/>
    <col min="20" max="20" width="13.375" style="120" customWidth="1"/>
    <col min="21" max="16384" width="9.125" style="120"/>
  </cols>
  <sheetData>
    <row r="1" spans="1:18" ht="60.75" customHeight="1">
      <c r="A1" s="750" t="s">
        <v>239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</row>
    <row r="2" spans="1:18" ht="27.75" customHeight="1" thickBot="1">
      <c r="A2" s="751" t="s">
        <v>215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N2" s="34"/>
    </row>
    <row r="3" spans="1:18" ht="41.25" customHeight="1" thickBot="1">
      <c r="A3" s="768" t="s">
        <v>232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70"/>
    </row>
    <row r="4" spans="1:18" s="141" customFormat="1" ht="32.25" customHeight="1">
      <c r="A4" s="771" t="s">
        <v>209</v>
      </c>
      <c r="B4" s="771"/>
      <c r="C4" s="771"/>
      <c r="D4" s="771"/>
      <c r="E4" s="771"/>
      <c r="F4" s="771"/>
      <c r="G4" s="771"/>
      <c r="H4" s="771"/>
      <c r="I4" s="771"/>
      <c r="J4" s="771"/>
      <c r="K4" s="771"/>
      <c r="L4" s="771"/>
    </row>
    <row r="5" spans="1:18" s="141" customFormat="1" ht="38.25" customHeight="1">
      <c r="A5" s="145" t="s">
        <v>1</v>
      </c>
      <c r="B5" s="146" t="s">
        <v>78</v>
      </c>
      <c r="C5" s="146" t="s">
        <v>3</v>
      </c>
      <c r="D5" s="147" t="s">
        <v>4</v>
      </c>
      <c r="E5" s="147" t="s">
        <v>5</v>
      </c>
      <c r="F5" s="147" t="s">
        <v>6</v>
      </c>
      <c r="G5" s="147" t="s">
        <v>59</v>
      </c>
      <c r="H5" s="147" t="s">
        <v>8</v>
      </c>
      <c r="I5" s="147" t="s">
        <v>210</v>
      </c>
      <c r="J5" s="147" t="s">
        <v>211</v>
      </c>
      <c r="K5" s="147" t="s">
        <v>212</v>
      </c>
      <c r="L5" s="147" t="s">
        <v>12</v>
      </c>
    </row>
    <row r="6" spans="1:18" s="141" customFormat="1" ht="31.5" customHeight="1">
      <c r="A6" s="188"/>
      <c r="B6" s="189" t="s">
        <v>237</v>
      </c>
      <c r="C6" s="189" t="s">
        <v>41</v>
      </c>
      <c r="D6" s="185">
        <v>33</v>
      </c>
      <c r="E6" s="185"/>
      <c r="F6" s="185"/>
      <c r="G6" s="185"/>
      <c r="H6" s="185"/>
      <c r="I6" s="185"/>
      <c r="J6" s="185"/>
      <c r="K6" s="185"/>
      <c r="L6" s="185"/>
    </row>
    <row r="7" spans="1:18" s="44" customFormat="1" ht="23.25" customHeight="1">
      <c r="A7" s="32">
        <v>1</v>
      </c>
      <c r="B7" s="187" t="s">
        <v>201</v>
      </c>
      <c r="C7" s="142" t="s">
        <v>228</v>
      </c>
      <c r="D7" s="144">
        <f>D6*1666/100*20</f>
        <v>10995.599999999999</v>
      </c>
      <c r="E7" s="162">
        <v>13</v>
      </c>
      <c r="F7" s="162">
        <f>400/E7</f>
        <v>30.76923076923077</v>
      </c>
      <c r="G7" s="162">
        <f>D7*1/E7</f>
        <v>845.81538461538446</v>
      </c>
      <c r="H7" s="142">
        <f>G7*F7*E7</f>
        <v>338326.15384615381</v>
      </c>
      <c r="I7" s="42">
        <v>22</v>
      </c>
      <c r="J7" s="143">
        <f>G7/I7</f>
        <v>38.446153846153841</v>
      </c>
      <c r="K7" s="42">
        <f>J7*E7</f>
        <v>499.79999999999995</v>
      </c>
      <c r="L7" s="113" t="s">
        <v>221</v>
      </c>
    </row>
    <row r="8" spans="1:18" s="44" customFormat="1" ht="23.25" customHeight="1">
      <c r="A8" s="32">
        <v>2</v>
      </c>
      <c r="B8" s="187" t="s">
        <v>202</v>
      </c>
      <c r="C8" s="142" t="s">
        <v>14</v>
      </c>
      <c r="D8" s="144">
        <f>D6/100*10*1000/100*20</f>
        <v>660.00000000000011</v>
      </c>
      <c r="E8" s="162">
        <v>13</v>
      </c>
      <c r="F8" s="162">
        <f t="shared" ref="F8:F10" si="0">400/E8</f>
        <v>30.76923076923077</v>
      </c>
      <c r="G8" s="162">
        <f t="shared" ref="G8:G10" si="1">D8*1/E8</f>
        <v>50.769230769230781</v>
      </c>
      <c r="H8" s="42">
        <f t="shared" ref="H8:H10" si="2">G8*F8*E8</f>
        <v>20307.692307692312</v>
      </c>
      <c r="I8" s="42">
        <v>22</v>
      </c>
      <c r="J8" s="143">
        <f t="shared" ref="J8:J10" si="3">G8/I8</f>
        <v>2.3076923076923084</v>
      </c>
      <c r="K8" s="42">
        <f t="shared" ref="K8:K10" si="4">J8*E8</f>
        <v>30.000000000000007</v>
      </c>
      <c r="L8" s="113" t="s">
        <v>221</v>
      </c>
    </row>
    <row r="9" spans="1:18" s="44" customFormat="1" ht="23.25" customHeight="1">
      <c r="A9" s="32">
        <v>3</v>
      </c>
      <c r="B9" s="187" t="s">
        <v>203</v>
      </c>
      <c r="C9" s="142" t="s">
        <v>227</v>
      </c>
      <c r="D9" s="144">
        <f>D6*2/100*20</f>
        <v>13.200000000000001</v>
      </c>
      <c r="E9" s="162">
        <v>0.5</v>
      </c>
      <c r="F9" s="162">
        <f t="shared" si="0"/>
        <v>800</v>
      </c>
      <c r="G9" s="162">
        <f t="shared" si="1"/>
        <v>26.400000000000002</v>
      </c>
      <c r="H9" s="42">
        <f t="shared" si="2"/>
        <v>10560</v>
      </c>
      <c r="I9" s="42">
        <v>22</v>
      </c>
      <c r="J9" s="143">
        <f t="shared" si="3"/>
        <v>1.2000000000000002</v>
      </c>
      <c r="K9" s="42">
        <f t="shared" si="4"/>
        <v>0.60000000000000009</v>
      </c>
      <c r="L9" s="113" t="s">
        <v>221</v>
      </c>
    </row>
    <row r="10" spans="1:18" s="44" customFormat="1" ht="23.25" customHeight="1">
      <c r="A10" s="32">
        <v>4</v>
      </c>
      <c r="B10" s="187" t="s">
        <v>204</v>
      </c>
      <c r="C10" s="142" t="s">
        <v>229</v>
      </c>
      <c r="D10" s="144">
        <f>D6*800/100*20</f>
        <v>5280</v>
      </c>
      <c r="E10" s="162">
        <v>13</v>
      </c>
      <c r="F10" s="162">
        <f t="shared" si="0"/>
        <v>30.76923076923077</v>
      </c>
      <c r="G10" s="162">
        <f t="shared" si="1"/>
        <v>406.15384615384613</v>
      </c>
      <c r="H10" s="42">
        <f t="shared" si="2"/>
        <v>162461.53846153847</v>
      </c>
      <c r="I10" s="42">
        <v>22</v>
      </c>
      <c r="J10" s="143">
        <f t="shared" si="3"/>
        <v>18.46153846153846</v>
      </c>
      <c r="K10" s="42">
        <f t="shared" si="4"/>
        <v>239.99999999999997</v>
      </c>
      <c r="L10" s="139" t="s">
        <v>221</v>
      </c>
    </row>
    <row r="11" spans="1:18" s="44" customFormat="1" ht="29.25" customHeight="1">
      <c r="A11" s="772" t="s">
        <v>220</v>
      </c>
      <c r="B11" s="772"/>
      <c r="C11" s="772"/>
      <c r="D11" s="150"/>
      <c r="E11" s="151"/>
      <c r="F11" s="151"/>
      <c r="G11" s="186">
        <f>SUM(G7:G10)</f>
        <v>1329.1384615384613</v>
      </c>
      <c r="H11" s="186">
        <f>SUM(H7:H10)</f>
        <v>531655.38461538462</v>
      </c>
      <c r="I11" s="186"/>
      <c r="J11" s="152">
        <f>SUM(J7:J10)</f>
        <v>60.41538461538461</v>
      </c>
      <c r="K11" s="773" t="s">
        <v>235</v>
      </c>
      <c r="L11" s="773"/>
    </row>
    <row r="12" spans="1:18" ht="37.5" customHeight="1">
      <c r="A12" s="765" t="s">
        <v>149</v>
      </c>
      <c r="B12" s="765"/>
      <c r="C12" s="765"/>
      <c r="D12" s="765"/>
      <c r="E12" s="765"/>
      <c r="F12" s="765"/>
      <c r="G12" s="765"/>
      <c r="H12" s="765"/>
      <c r="I12" s="765"/>
      <c r="J12" s="765"/>
      <c r="K12" s="765"/>
      <c r="L12" s="765"/>
    </row>
    <row r="13" spans="1:18" ht="36" customHeight="1">
      <c r="A13" s="149" t="s">
        <v>1</v>
      </c>
      <c r="B13" s="147" t="s">
        <v>78</v>
      </c>
      <c r="C13" s="147" t="s">
        <v>3</v>
      </c>
      <c r="D13" s="147" t="s">
        <v>4</v>
      </c>
      <c r="E13" s="147" t="s">
        <v>5</v>
      </c>
      <c r="F13" s="147" t="s">
        <v>6</v>
      </c>
      <c r="G13" s="147" t="s">
        <v>59</v>
      </c>
      <c r="H13" s="147" t="s">
        <v>60</v>
      </c>
      <c r="I13" s="147" t="s">
        <v>9</v>
      </c>
      <c r="J13" s="147" t="s">
        <v>79</v>
      </c>
      <c r="K13" s="148" t="s">
        <v>86</v>
      </c>
      <c r="L13" s="148" t="s">
        <v>12</v>
      </c>
    </row>
    <row r="14" spans="1:18" ht="23.25" customHeight="1">
      <c r="A14" s="37">
        <v>1</v>
      </c>
      <c r="B14" s="187" t="s">
        <v>201</v>
      </c>
      <c r="C14" s="7" t="s">
        <v>14</v>
      </c>
      <c r="D14" s="144">
        <f>D6*1666/100*40</f>
        <v>21991.199999999997</v>
      </c>
      <c r="E14" s="162">
        <v>13</v>
      </c>
      <c r="F14" s="162">
        <f>400/E14</f>
        <v>30.76923076923077</v>
      </c>
      <c r="G14" s="162">
        <f>D14*1/E14</f>
        <v>1691.6307692307689</v>
      </c>
      <c r="H14" s="142">
        <f>G14*F14*E14</f>
        <v>676652.30769230763</v>
      </c>
      <c r="I14" s="42">
        <v>66</v>
      </c>
      <c r="J14" s="143">
        <f>G14/I14</f>
        <v>25.630769230769225</v>
      </c>
      <c r="K14" s="42">
        <f>J14*E14</f>
        <v>333.19999999999993</v>
      </c>
      <c r="L14" s="57" t="s">
        <v>222</v>
      </c>
      <c r="M14" s="112"/>
      <c r="R14" s="34"/>
    </row>
    <row r="15" spans="1:18" ht="23.25" customHeight="1">
      <c r="A15" s="37">
        <v>2</v>
      </c>
      <c r="B15" s="187" t="s">
        <v>202</v>
      </c>
      <c r="C15" s="7" t="s">
        <v>14</v>
      </c>
      <c r="D15" s="144">
        <f>D6/100*10*1000/100*40</f>
        <v>1320.0000000000002</v>
      </c>
      <c r="E15" s="162">
        <v>13</v>
      </c>
      <c r="F15" s="162">
        <f t="shared" ref="F15:F17" si="5">400/E15</f>
        <v>30.76923076923077</v>
      </c>
      <c r="G15" s="162">
        <f t="shared" ref="G15:G17" si="6">D15*1/E15</f>
        <v>101.53846153846156</v>
      </c>
      <c r="H15" s="142">
        <f t="shared" ref="H15:H17" si="7">G15*F15*E15</f>
        <v>40615.384615384624</v>
      </c>
      <c r="I15" s="42">
        <v>66</v>
      </c>
      <c r="J15" s="143">
        <f t="shared" ref="J15:J17" si="8">G15/I15</f>
        <v>1.5384615384615388</v>
      </c>
      <c r="K15" s="42">
        <f t="shared" ref="K15:K17" si="9">J15*E15</f>
        <v>20.000000000000004</v>
      </c>
      <c r="L15" s="57" t="s">
        <v>222</v>
      </c>
      <c r="M15" s="112"/>
      <c r="R15" s="34"/>
    </row>
    <row r="16" spans="1:18" ht="23.25" customHeight="1">
      <c r="A16" s="37">
        <v>3</v>
      </c>
      <c r="B16" s="187" t="s">
        <v>203</v>
      </c>
      <c r="C16" s="7" t="s">
        <v>227</v>
      </c>
      <c r="D16" s="144">
        <f>D6*2/100*40</f>
        <v>26.400000000000002</v>
      </c>
      <c r="E16" s="162">
        <v>0.5</v>
      </c>
      <c r="F16" s="162">
        <f t="shared" si="5"/>
        <v>800</v>
      </c>
      <c r="G16" s="162">
        <f t="shared" si="6"/>
        <v>52.800000000000004</v>
      </c>
      <c r="H16" s="142">
        <f t="shared" si="7"/>
        <v>21120</v>
      </c>
      <c r="I16" s="42">
        <v>66</v>
      </c>
      <c r="J16" s="143">
        <f t="shared" si="8"/>
        <v>0.8</v>
      </c>
      <c r="K16" s="42">
        <f t="shared" si="9"/>
        <v>0.4</v>
      </c>
      <c r="L16" s="57" t="s">
        <v>222</v>
      </c>
      <c r="M16" s="112"/>
      <c r="R16" s="34"/>
    </row>
    <row r="17" spans="1:18" ht="23.25" customHeight="1">
      <c r="A17" s="37">
        <v>4</v>
      </c>
      <c r="B17" s="187" t="s">
        <v>204</v>
      </c>
      <c r="C17" s="7" t="s">
        <v>229</v>
      </c>
      <c r="D17" s="144">
        <f>D6*800/100*40</f>
        <v>10560</v>
      </c>
      <c r="E17" s="162">
        <v>13</v>
      </c>
      <c r="F17" s="162">
        <f t="shared" si="5"/>
        <v>30.76923076923077</v>
      </c>
      <c r="G17" s="162">
        <f t="shared" si="6"/>
        <v>812.30769230769226</v>
      </c>
      <c r="H17" s="142">
        <f t="shared" si="7"/>
        <v>324923.07692307694</v>
      </c>
      <c r="I17" s="42">
        <v>66</v>
      </c>
      <c r="J17" s="143">
        <f t="shared" si="8"/>
        <v>12.307692307692307</v>
      </c>
      <c r="K17" s="42">
        <f t="shared" si="9"/>
        <v>160</v>
      </c>
      <c r="L17" s="57" t="s">
        <v>222</v>
      </c>
      <c r="M17" s="112"/>
      <c r="R17" s="34"/>
    </row>
    <row r="18" spans="1:18" ht="30" customHeight="1">
      <c r="A18" s="766" t="s">
        <v>213</v>
      </c>
      <c r="B18" s="766"/>
      <c r="C18" s="154"/>
      <c r="D18" s="155"/>
      <c r="E18" s="156"/>
      <c r="F18" s="157"/>
      <c r="G18" s="158">
        <f>SUM(G14:G17)</f>
        <v>2658.2769230769227</v>
      </c>
      <c r="H18" s="156">
        <f>SUM(H14:H17)</f>
        <v>1063310.7692307692</v>
      </c>
      <c r="I18" s="159"/>
      <c r="J18" s="160">
        <f>SUM(J14:J17)</f>
        <v>40.276923076923069</v>
      </c>
      <c r="K18" s="767" t="s">
        <v>225</v>
      </c>
      <c r="L18" s="767"/>
      <c r="M18" s="112"/>
      <c r="R18" s="34"/>
    </row>
    <row r="19" spans="1:18" ht="33" customHeight="1">
      <c r="A19" s="765" t="s">
        <v>61</v>
      </c>
      <c r="B19" s="765"/>
      <c r="C19" s="765"/>
      <c r="D19" s="765"/>
      <c r="E19" s="765"/>
      <c r="F19" s="765"/>
      <c r="G19" s="765"/>
      <c r="H19" s="765"/>
      <c r="I19" s="765"/>
      <c r="J19" s="765"/>
      <c r="K19" s="765"/>
      <c r="L19" s="765"/>
    </row>
    <row r="20" spans="1:18" ht="48.75" customHeight="1">
      <c r="A20" s="149" t="s">
        <v>1</v>
      </c>
      <c r="B20" s="147" t="s">
        <v>78</v>
      </c>
      <c r="C20" s="147" t="s">
        <v>3</v>
      </c>
      <c r="D20" s="147" t="s">
        <v>4</v>
      </c>
      <c r="E20" s="147" t="s">
        <v>5</v>
      </c>
      <c r="F20" s="147" t="s">
        <v>6</v>
      </c>
      <c r="G20" s="147" t="s">
        <v>59</v>
      </c>
      <c r="H20" s="147" t="s">
        <v>60</v>
      </c>
      <c r="I20" s="147" t="s">
        <v>9</v>
      </c>
      <c r="J20" s="147" t="s">
        <v>79</v>
      </c>
      <c r="K20" s="148" t="s">
        <v>86</v>
      </c>
      <c r="L20" s="148" t="s">
        <v>12</v>
      </c>
    </row>
    <row r="21" spans="1:18" ht="23.25" customHeight="1">
      <c r="A21" s="37">
        <v>1</v>
      </c>
      <c r="B21" s="187" t="s">
        <v>201</v>
      </c>
      <c r="C21" s="7" t="s">
        <v>14</v>
      </c>
      <c r="D21" s="144">
        <f>D6*1666/100*40</f>
        <v>21991.199999999997</v>
      </c>
      <c r="E21" s="162">
        <v>13</v>
      </c>
      <c r="F21" s="162">
        <f>400/E21</f>
        <v>30.76923076923077</v>
      </c>
      <c r="G21" s="162">
        <f>D21*1/E21</f>
        <v>1691.6307692307689</v>
      </c>
      <c r="H21" s="142">
        <f>G21*F21*E21</f>
        <v>676652.30769230763</v>
      </c>
      <c r="I21" s="42">
        <v>66</v>
      </c>
      <c r="J21" s="143">
        <f>G21/I21</f>
        <v>25.630769230769225</v>
      </c>
      <c r="K21" s="42">
        <f>J21*E21</f>
        <v>333.19999999999993</v>
      </c>
      <c r="L21" s="57" t="s">
        <v>223</v>
      </c>
      <c r="M21" s="112"/>
      <c r="R21" s="34"/>
    </row>
    <row r="22" spans="1:18" ht="23.25" customHeight="1">
      <c r="A22" s="37">
        <v>2</v>
      </c>
      <c r="B22" s="187" t="s">
        <v>202</v>
      </c>
      <c r="C22" s="7" t="s">
        <v>14</v>
      </c>
      <c r="D22" s="144">
        <f>D6/100*10*1000/100*40</f>
        <v>1320.0000000000002</v>
      </c>
      <c r="E22" s="162">
        <v>13</v>
      </c>
      <c r="F22" s="162">
        <f t="shared" ref="F22:F24" si="10">400/E22</f>
        <v>30.76923076923077</v>
      </c>
      <c r="G22" s="162">
        <f t="shared" ref="G22:G24" si="11">D22*1/E22</f>
        <v>101.53846153846156</v>
      </c>
      <c r="H22" s="142">
        <f t="shared" ref="H22:H24" si="12">G22*F22*E22</f>
        <v>40615.384615384624</v>
      </c>
      <c r="I22" s="42">
        <v>66</v>
      </c>
      <c r="J22" s="143">
        <f t="shared" ref="J22:J24" si="13">G22/I22</f>
        <v>1.5384615384615388</v>
      </c>
      <c r="K22" s="42">
        <f t="shared" ref="K22:K24" si="14">J22*E22</f>
        <v>20.000000000000004</v>
      </c>
      <c r="L22" s="57" t="s">
        <v>223</v>
      </c>
      <c r="M22" s="112"/>
      <c r="R22" s="34"/>
    </row>
    <row r="23" spans="1:18" ht="23.25" customHeight="1">
      <c r="A23" s="37">
        <v>3</v>
      </c>
      <c r="B23" s="187" t="s">
        <v>203</v>
      </c>
      <c r="C23" s="7" t="s">
        <v>227</v>
      </c>
      <c r="D23" s="144">
        <f>D6*2/100*40</f>
        <v>26.400000000000002</v>
      </c>
      <c r="E23" s="162">
        <v>0.5</v>
      </c>
      <c r="F23" s="162">
        <f t="shared" si="10"/>
        <v>800</v>
      </c>
      <c r="G23" s="162">
        <f t="shared" si="11"/>
        <v>52.800000000000004</v>
      </c>
      <c r="H23" s="142">
        <f t="shared" si="12"/>
        <v>21120</v>
      </c>
      <c r="I23" s="42">
        <v>66</v>
      </c>
      <c r="J23" s="143">
        <f t="shared" si="13"/>
        <v>0.8</v>
      </c>
      <c r="K23" s="42">
        <f t="shared" si="14"/>
        <v>0.4</v>
      </c>
      <c r="L23" s="57" t="s">
        <v>223</v>
      </c>
      <c r="M23" s="112"/>
      <c r="R23" s="34"/>
    </row>
    <row r="24" spans="1:18" ht="23.25" customHeight="1">
      <c r="A24" s="37">
        <v>4</v>
      </c>
      <c r="B24" s="187" t="s">
        <v>204</v>
      </c>
      <c r="C24" s="7" t="s">
        <v>229</v>
      </c>
      <c r="D24" s="144">
        <f>D6*800/100*40</f>
        <v>10560</v>
      </c>
      <c r="E24" s="162">
        <v>13</v>
      </c>
      <c r="F24" s="162">
        <f t="shared" si="10"/>
        <v>30.76923076923077</v>
      </c>
      <c r="G24" s="162">
        <f t="shared" si="11"/>
        <v>812.30769230769226</v>
      </c>
      <c r="H24" s="142">
        <f t="shared" si="12"/>
        <v>324923.07692307694</v>
      </c>
      <c r="I24" s="42">
        <v>66</v>
      </c>
      <c r="J24" s="143">
        <f t="shared" si="13"/>
        <v>12.307692307692307</v>
      </c>
      <c r="K24" s="42">
        <f t="shared" si="14"/>
        <v>160</v>
      </c>
      <c r="L24" s="57" t="s">
        <v>223</v>
      </c>
      <c r="M24" s="112"/>
      <c r="R24" s="34"/>
    </row>
    <row r="25" spans="1:18" ht="33" customHeight="1">
      <c r="A25" s="766" t="s">
        <v>214</v>
      </c>
      <c r="B25" s="766"/>
      <c r="C25" s="154"/>
      <c r="D25" s="155"/>
      <c r="E25" s="156"/>
      <c r="F25" s="157"/>
      <c r="G25" s="158">
        <f>SUM(G21:G24)</f>
        <v>2658.2769230769227</v>
      </c>
      <c r="H25" s="156">
        <f>SUM(H21:H24)</f>
        <v>1063310.7692307692</v>
      </c>
      <c r="I25" s="159"/>
      <c r="J25" s="160">
        <f>SUM(J21:J24)</f>
        <v>40.276923076923069</v>
      </c>
      <c r="K25" s="767" t="s">
        <v>226</v>
      </c>
      <c r="L25" s="767"/>
      <c r="M25" s="112"/>
      <c r="R25" s="34"/>
    </row>
    <row r="26" spans="1:18" ht="32.25" customHeight="1">
      <c r="A26" s="765" t="s">
        <v>207</v>
      </c>
      <c r="B26" s="765"/>
      <c r="C26" s="765"/>
      <c r="D26" s="765"/>
      <c r="E26" s="765"/>
      <c r="F26" s="765"/>
      <c r="G26" s="765"/>
      <c r="H26" s="765"/>
      <c r="I26" s="765"/>
      <c r="J26" s="765"/>
      <c r="K26" s="765"/>
      <c r="L26" s="765"/>
      <c r="M26" s="43"/>
      <c r="N26" s="43"/>
    </row>
    <row r="27" spans="1:18" ht="45" customHeight="1">
      <c r="A27" s="149" t="s">
        <v>1</v>
      </c>
      <c r="B27" s="147" t="s">
        <v>78</v>
      </c>
      <c r="C27" s="147" t="s">
        <v>3</v>
      </c>
      <c r="D27" s="147" t="s">
        <v>4</v>
      </c>
      <c r="E27" s="147" t="s">
        <v>5</v>
      </c>
      <c r="F27" s="147" t="s">
        <v>6</v>
      </c>
      <c r="G27" s="147" t="s">
        <v>59</v>
      </c>
      <c r="H27" s="147" t="s">
        <v>60</v>
      </c>
      <c r="I27" s="147" t="s">
        <v>9</v>
      </c>
      <c r="J27" s="147" t="s">
        <v>79</v>
      </c>
      <c r="K27" s="148" t="s">
        <v>86</v>
      </c>
      <c r="L27" s="148" t="s">
        <v>12</v>
      </c>
    </row>
    <row r="28" spans="1:18" ht="23.25" customHeight="1">
      <c r="A28" s="37">
        <v>1</v>
      </c>
      <c r="B28" s="187" t="s">
        <v>205</v>
      </c>
      <c r="C28" s="7" t="s">
        <v>28</v>
      </c>
      <c r="D28" s="166">
        <f>D6*800</f>
        <v>26400</v>
      </c>
      <c r="E28" s="162">
        <v>50</v>
      </c>
      <c r="F28" s="162">
        <f>400/E28</f>
        <v>8</v>
      </c>
      <c r="G28" s="162">
        <f>D28*1/E28</f>
        <v>528</v>
      </c>
      <c r="H28" s="162">
        <f>G28*F28*E28</f>
        <v>211200</v>
      </c>
      <c r="I28" s="162">
        <v>22</v>
      </c>
      <c r="J28" s="162">
        <f>G28/I28</f>
        <v>24</v>
      </c>
      <c r="K28" s="162">
        <f>J28*E28</f>
        <v>1200</v>
      </c>
      <c r="L28" s="57" t="s">
        <v>224</v>
      </c>
      <c r="M28" s="112"/>
      <c r="R28" s="34"/>
    </row>
    <row r="29" spans="1:18" ht="23.25" customHeight="1">
      <c r="A29" s="37">
        <v>2</v>
      </c>
      <c r="B29" s="187" t="s">
        <v>206</v>
      </c>
      <c r="C29" s="7" t="s">
        <v>219</v>
      </c>
      <c r="D29" s="166">
        <f>D6</f>
        <v>33</v>
      </c>
      <c r="E29" s="162">
        <v>10</v>
      </c>
      <c r="F29" s="162">
        <f t="shared" ref="F29:F31" si="15">400/E29</f>
        <v>40</v>
      </c>
      <c r="G29" s="162">
        <f t="shared" ref="G29:G31" si="16">D29*1/E29</f>
        <v>3.3</v>
      </c>
      <c r="H29" s="162">
        <f t="shared" ref="H29:H31" si="17">G29*F29*E29</f>
        <v>1320</v>
      </c>
      <c r="I29" s="162">
        <v>22</v>
      </c>
      <c r="J29" s="162">
        <f t="shared" ref="J29:J31" si="18">G29/I29</f>
        <v>0.15</v>
      </c>
      <c r="K29" s="162">
        <f t="shared" ref="K29:K31" si="19">J29*E29</f>
        <v>1.5</v>
      </c>
      <c r="L29" s="57" t="s">
        <v>224</v>
      </c>
      <c r="M29" s="112"/>
      <c r="R29" s="34"/>
    </row>
    <row r="30" spans="1:18" ht="23.25" customHeight="1">
      <c r="A30" s="37">
        <v>3</v>
      </c>
      <c r="B30" s="187" t="s">
        <v>216</v>
      </c>
      <c r="C30" s="7" t="s">
        <v>219</v>
      </c>
      <c r="D30" s="166">
        <f>D6/100*10</f>
        <v>3.3000000000000003</v>
      </c>
      <c r="E30" s="162">
        <v>1</v>
      </c>
      <c r="F30" s="162">
        <f t="shared" si="15"/>
        <v>400</v>
      </c>
      <c r="G30" s="162">
        <f t="shared" si="16"/>
        <v>3.3000000000000003</v>
      </c>
      <c r="H30" s="162">
        <f t="shared" si="17"/>
        <v>1320</v>
      </c>
      <c r="I30" s="162">
        <v>22</v>
      </c>
      <c r="J30" s="162">
        <f t="shared" si="18"/>
        <v>0.15000000000000002</v>
      </c>
      <c r="K30" s="162">
        <f t="shared" si="19"/>
        <v>0.15000000000000002</v>
      </c>
      <c r="L30" s="57" t="s">
        <v>224</v>
      </c>
      <c r="M30" s="112"/>
      <c r="R30" s="34"/>
    </row>
    <row r="31" spans="1:18" ht="23.25" customHeight="1">
      <c r="A31" s="37">
        <v>4</v>
      </c>
      <c r="B31" s="187" t="s">
        <v>230</v>
      </c>
      <c r="C31" s="7"/>
      <c r="D31" s="166">
        <f>D28</f>
        <v>26400</v>
      </c>
      <c r="E31" s="162">
        <v>250</v>
      </c>
      <c r="F31" s="162">
        <f t="shared" si="15"/>
        <v>1.6</v>
      </c>
      <c r="G31" s="162">
        <f t="shared" si="16"/>
        <v>105.6</v>
      </c>
      <c r="H31" s="162">
        <f t="shared" si="17"/>
        <v>42240</v>
      </c>
      <c r="I31" s="162">
        <v>22</v>
      </c>
      <c r="J31" s="162">
        <f t="shared" si="18"/>
        <v>4.8</v>
      </c>
      <c r="K31" s="162">
        <f t="shared" si="19"/>
        <v>1200</v>
      </c>
      <c r="L31" s="57"/>
      <c r="M31" s="112"/>
      <c r="R31" s="34"/>
    </row>
    <row r="32" spans="1:18" ht="35.25" customHeight="1">
      <c r="A32" s="766" t="s">
        <v>208</v>
      </c>
      <c r="B32" s="766"/>
      <c r="C32" s="161"/>
      <c r="D32" s="161"/>
      <c r="E32" s="161"/>
      <c r="F32" s="163"/>
      <c r="G32" s="163">
        <f>SUM(G28:G30)</f>
        <v>534.59999999999991</v>
      </c>
      <c r="H32" s="163">
        <f>SUM(H28:H31)</f>
        <v>256080</v>
      </c>
      <c r="I32" s="164"/>
      <c r="J32" s="165">
        <f>SUM(J28:J31)</f>
        <v>29.099999999999998</v>
      </c>
      <c r="K32" s="766" t="s">
        <v>231</v>
      </c>
      <c r="L32" s="766"/>
      <c r="M32" s="112"/>
      <c r="R32" s="34"/>
    </row>
    <row r="33" spans="1:12" ht="28.5" customHeight="1">
      <c r="A33" s="726" t="s">
        <v>233</v>
      </c>
      <c r="B33" s="726"/>
      <c r="C33" s="69"/>
      <c r="D33" s="70"/>
      <c r="E33" s="70"/>
      <c r="F33" s="70"/>
      <c r="G33" s="71"/>
      <c r="H33" s="71">
        <f>H11+H18+H25+H32</f>
        <v>2914356.923076923</v>
      </c>
      <c r="I33" s="71"/>
      <c r="J33" s="71"/>
      <c r="K33" s="183"/>
      <c r="L33" s="184"/>
    </row>
    <row r="34" spans="1:12" ht="24" customHeight="1">
      <c r="A34" s="727" t="s">
        <v>234</v>
      </c>
      <c r="B34" s="727"/>
      <c r="C34" s="178"/>
      <c r="D34" s="179"/>
      <c r="E34" s="179"/>
      <c r="F34" s="179"/>
      <c r="G34" s="180"/>
      <c r="H34" s="180">
        <f>H33/68</f>
        <v>42858.19004524887</v>
      </c>
      <c r="I34" s="180"/>
      <c r="J34" s="180"/>
      <c r="K34" s="181"/>
      <c r="L34" s="182"/>
    </row>
    <row r="35" spans="1:12" s="244" customFormat="1" ht="26.25" customHeight="1">
      <c r="A35" s="764" t="s">
        <v>218</v>
      </c>
      <c r="B35" s="764"/>
      <c r="D35" s="68" t="s">
        <v>44</v>
      </c>
      <c r="E35" s="68" t="s">
        <v>217</v>
      </c>
      <c r="F35" s="176"/>
      <c r="G35" s="176"/>
      <c r="J35" s="68"/>
      <c r="L35" s="177"/>
    </row>
    <row r="36" spans="1:12" s="244" customFormat="1" ht="26.25" customHeight="1">
      <c r="A36" s="176" t="s">
        <v>236</v>
      </c>
      <c r="B36" s="247"/>
      <c r="C36" s="248"/>
      <c r="D36" s="68"/>
      <c r="F36" s="243" t="s">
        <v>238</v>
      </c>
      <c r="G36" s="176"/>
      <c r="J36" s="243"/>
      <c r="L36" s="177"/>
    </row>
    <row r="37" spans="1:12" s="244" customFormat="1" ht="26.25" customHeight="1">
      <c r="A37" s="248"/>
      <c r="B37" s="249"/>
      <c r="D37" s="133"/>
      <c r="F37" s="132"/>
      <c r="G37" s="248" t="s">
        <v>198</v>
      </c>
      <c r="J37" s="248"/>
      <c r="K37" s="250"/>
      <c r="L37" s="68"/>
    </row>
    <row r="38" spans="1:12" s="244" customFormat="1" ht="26.25" customHeight="1">
      <c r="A38" s="248"/>
      <c r="B38" s="249"/>
      <c r="D38" s="133"/>
      <c r="F38" s="132"/>
      <c r="G38" s="132"/>
      <c r="H38" s="244" t="s">
        <v>199</v>
      </c>
      <c r="K38" s="250"/>
      <c r="L38" s="68"/>
    </row>
    <row r="39" spans="1:12" s="244" customFormat="1" ht="26.25" customHeight="1">
      <c r="A39" s="248" t="s">
        <v>89</v>
      </c>
      <c r="B39" s="249"/>
      <c r="C39" s="243" t="s">
        <v>200</v>
      </c>
      <c r="G39" s="251" t="s">
        <v>48</v>
      </c>
      <c r="K39" s="68" t="s">
        <v>49</v>
      </c>
      <c r="L39" s="251"/>
    </row>
    <row r="40" spans="1:12" s="244" customFormat="1" ht="26.25" customHeight="1">
      <c r="B40" s="252"/>
      <c r="C40" s="244" t="s">
        <v>52</v>
      </c>
      <c r="G40" s="244" t="s">
        <v>53</v>
      </c>
      <c r="K40" s="137" t="s">
        <v>54</v>
      </c>
      <c r="L40" s="253" t="s">
        <v>81</v>
      </c>
    </row>
  </sheetData>
  <mergeCells count="18">
    <mergeCell ref="A1:L1"/>
    <mergeCell ref="A2:L2"/>
    <mergeCell ref="A3:L3"/>
    <mergeCell ref="A4:L4"/>
    <mergeCell ref="A11:C11"/>
    <mergeCell ref="K11:L11"/>
    <mergeCell ref="A35:B35"/>
    <mergeCell ref="A12:L12"/>
    <mergeCell ref="A18:B18"/>
    <mergeCell ref="K18:L18"/>
    <mergeCell ref="A19:L19"/>
    <mergeCell ref="A25:B25"/>
    <mergeCell ref="K25:L25"/>
    <mergeCell ref="A26:L26"/>
    <mergeCell ref="A32:B32"/>
    <mergeCell ref="K32:L32"/>
    <mergeCell ref="A33:B33"/>
    <mergeCell ref="A34:B34"/>
  </mergeCells>
  <printOptions horizontalCentered="1"/>
  <pageMargins left="0.35" right="0.36" top="0.32" bottom="0.28999999999999998" header="0.17" footer="0.18"/>
  <pageSetup paperSize="9" scale="4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40"/>
  <sheetViews>
    <sheetView rightToLeft="1" view="pageBreakPreview" topLeftCell="A28" zoomScale="60" workbookViewId="0">
      <selection activeCell="D7" sqref="D7"/>
    </sheetView>
  </sheetViews>
  <sheetFormatPr defaultColWidth="9.125" defaultRowHeight="15"/>
  <cols>
    <col min="1" max="1" width="7" style="120" customWidth="1"/>
    <col min="2" max="2" width="48.25" style="120" customWidth="1"/>
    <col min="3" max="3" width="10" style="120" customWidth="1"/>
    <col min="4" max="4" width="17" style="120" bestFit="1" customWidth="1"/>
    <col min="5" max="5" width="13.25" style="120" customWidth="1"/>
    <col min="6" max="6" width="14.625" style="120" customWidth="1"/>
    <col min="7" max="7" width="14.75" style="120" customWidth="1"/>
    <col min="8" max="8" width="18.625" style="120" customWidth="1"/>
    <col min="9" max="10" width="13.125" style="120" customWidth="1"/>
    <col min="11" max="11" width="19" style="120" customWidth="1"/>
    <col min="12" max="12" width="48.375" style="120" customWidth="1"/>
    <col min="13" max="13" width="10.75" style="120" bestFit="1" customWidth="1"/>
    <col min="14" max="14" width="17.625" style="120" customWidth="1"/>
    <col min="15" max="15" width="17" style="120" customWidth="1"/>
    <col min="16" max="16" width="24.125" style="120" customWidth="1"/>
    <col min="17" max="17" width="9.125" style="120"/>
    <col min="18" max="18" width="11.75" style="120" customWidth="1"/>
    <col min="19" max="19" width="9.125" style="120"/>
    <col min="20" max="20" width="13.375" style="120" customWidth="1"/>
    <col min="21" max="16384" width="9.125" style="120"/>
  </cols>
  <sheetData>
    <row r="1" spans="1:18" ht="60.75" customHeight="1">
      <c r="A1" s="750" t="s">
        <v>240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</row>
    <row r="2" spans="1:18" ht="27.75" customHeight="1" thickBot="1">
      <c r="A2" s="751" t="s">
        <v>215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N2" s="34"/>
    </row>
    <row r="3" spans="1:18" ht="41.25" customHeight="1" thickBot="1">
      <c r="A3" s="768" t="s">
        <v>232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70"/>
    </row>
    <row r="4" spans="1:18" s="141" customFormat="1" ht="32.25" customHeight="1">
      <c r="A4" s="771" t="s">
        <v>209</v>
      </c>
      <c r="B4" s="771"/>
      <c r="C4" s="771"/>
      <c r="D4" s="771"/>
      <c r="E4" s="771"/>
      <c r="F4" s="771"/>
      <c r="G4" s="771"/>
      <c r="H4" s="771"/>
      <c r="I4" s="771"/>
      <c r="J4" s="771"/>
      <c r="K4" s="771"/>
      <c r="L4" s="771"/>
    </row>
    <row r="5" spans="1:18" s="141" customFormat="1" ht="38.25" customHeight="1">
      <c r="A5" s="145" t="s">
        <v>1</v>
      </c>
      <c r="B5" s="146" t="s">
        <v>78</v>
      </c>
      <c r="C5" s="146" t="s">
        <v>3</v>
      </c>
      <c r="D5" s="147" t="s">
        <v>4</v>
      </c>
      <c r="E5" s="147" t="s">
        <v>5</v>
      </c>
      <c r="F5" s="147" t="s">
        <v>6</v>
      </c>
      <c r="G5" s="147" t="s">
        <v>59</v>
      </c>
      <c r="H5" s="147" t="s">
        <v>8</v>
      </c>
      <c r="I5" s="147" t="s">
        <v>210</v>
      </c>
      <c r="J5" s="147" t="s">
        <v>211</v>
      </c>
      <c r="K5" s="147" t="s">
        <v>212</v>
      </c>
      <c r="L5" s="147" t="s">
        <v>12</v>
      </c>
    </row>
    <row r="6" spans="1:18" s="141" customFormat="1" ht="31.5" customHeight="1">
      <c r="A6" s="188"/>
      <c r="B6" s="189" t="s">
        <v>237</v>
      </c>
      <c r="C6" s="189" t="s">
        <v>41</v>
      </c>
      <c r="D6" s="185">
        <v>0</v>
      </c>
      <c r="E6" s="185"/>
      <c r="F6" s="185"/>
      <c r="G6" s="185"/>
      <c r="H6" s="185"/>
      <c r="I6" s="185"/>
      <c r="J6" s="185"/>
      <c r="K6" s="185"/>
      <c r="L6" s="185"/>
    </row>
    <row r="7" spans="1:18" s="44" customFormat="1" ht="23.25" customHeight="1">
      <c r="A7" s="32">
        <v>1</v>
      </c>
      <c r="B7" s="187" t="s">
        <v>201</v>
      </c>
      <c r="C7" s="142" t="s">
        <v>228</v>
      </c>
      <c r="D7" s="144">
        <f>D6*1666/100*20</f>
        <v>0</v>
      </c>
      <c r="E7" s="162">
        <v>13</v>
      </c>
      <c r="F7" s="162">
        <f>400/E7</f>
        <v>30.76923076923077</v>
      </c>
      <c r="G7" s="162">
        <f>D7*1/E7</f>
        <v>0</v>
      </c>
      <c r="H7" s="142">
        <f>G7*F7*E7</f>
        <v>0</v>
      </c>
      <c r="I7" s="42">
        <v>22</v>
      </c>
      <c r="J7" s="143">
        <f>G7/I7</f>
        <v>0</v>
      </c>
      <c r="K7" s="42">
        <f>J7*E7</f>
        <v>0</v>
      </c>
      <c r="L7" s="113" t="s">
        <v>221</v>
      </c>
    </row>
    <row r="8" spans="1:18" s="44" customFormat="1" ht="23.25" customHeight="1">
      <c r="A8" s="32">
        <v>2</v>
      </c>
      <c r="B8" s="187" t="s">
        <v>202</v>
      </c>
      <c r="C8" s="142" t="s">
        <v>14</v>
      </c>
      <c r="D8" s="144">
        <f>D6/100*10*1000/100*20</f>
        <v>0</v>
      </c>
      <c r="E8" s="162">
        <v>13</v>
      </c>
      <c r="F8" s="162">
        <f t="shared" ref="F8:F10" si="0">400/E8</f>
        <v>30.76923076923077</v>
      </c>
      <c r="G8" s="162">
        <f t="shared" ref="G8:G10" si="1">D8*1/E8</f>
        <v>0</v>
      </c>
      <c r="H8" s="42">
        <f t="shared" ref="H8:H10" si="2">G8*F8*E8</f>
        <v>0</v>
      </c>
      <c r="I8" s="42">
        <v>22</v>
      </c>
      <c r="J8" s="143">
        <f t="shared" ref="J8:J10" si="3">G8/I8</f>
        <v>0</v>
      </c>
      <c r="K8" s="42">
        <f t="shared" ref="K8:K10" si="4">J8*E8</f>
        <v>0</v>
      </c>
      <c r="L8" s="113" t="s">
        <v>221</v>
      </c>
    </row>
    <row r="9" spans="1:18" s="44" customFormat="1" ht="23.25" customHeight="1">
      <c r="A9" s="32">
        <v>3</v>
      </c>
      <c r="B9" s="187" t="s">
        <v>203</v>
      </c>
      <c r="C9" s="142" t="s">
        <v>227</v>
      </c>
      <c r="D9" s="144">
        <f>D6*2/100*20</f>
        <v>0</v>
      </c>
      <c r="E9" s="162">
        <v>0.5</v>
      </c>
      <c r="F9" s="162">
        <f t="shared" si="0"/>
        <v>800</v>
      </c>
      <c r="G9" s="162">
        <f t="shared" si="1"/>
        <v>0</v>
      </c>
      <c r="H9" s="42">
        <f t="shared" si="2"/>
        <v>0</v>
      </c>
      <c r="I9" s="42">
        <v>22</v>
      </c>
      <c r="J9" s="143">
        <f t="shared" si="3"/>
        <v>0</v>
      </c>
      <c r="K9" s="42">
        <f t="shared" si="4"/>
        <v>0</v>
      </c>
      <c r="L9" s="113" t="s">
        <v>221</v>
      </c>
    </row>
    <row r="10" spans="1:18" s="44" customFormat="1" ht="23.25" customHeight="1">
      <c r="A10" s="32">
        <v>4</v>
      </c>
      <c r="B10" s="187" t="s">
        <v>204</v>
      </c>
      <c r="C10" s="142" t="s">
        <v>229</v>
      </c>
      <c r="D10" s="144">
        <f>D6*800/100*20</f>
        <v>0</v>
      </c>
      <c r="E10" s="162">
        <v>13</v>
      </c>
      <c r="F10" s="162">
        <f t="shared" si="0"/>
        <v>30.76923076923077</v>
      </c>
      <c r="G10" s="162">
        <f t="shared" si="1"/>
        <v>0</v>
      </c>
      <c r="H10" s="42">
        <f t="shared" si="2"/>
        <v>0</v>
      </c>
      <c r="I10" s="42">
        <v>22</v>
      </c>
      <c r="J10" s="143">
        <f t="shared" si="3"/>
        <v>0</v>
      </c>
      <c r="K10" s="42">
        <f t="shared" si="4"/>
        <v>0</v>
      </c>
      <c r="L10" s="139" t="s">
        <v>221</v>
      </c>
    </row>
    <row r="11" spans="1:18" s="44" customFormat="1" ht="29.25" customHeight="1">
      <c r="A11" s="772" t="s">
        <v>220</v>
      </c>
      <c r="B11" s="772"/>
      <c r="C11" s="772"/>
      <c r="D11" s="150"/>
      <c r="E11" s="151"/>
      <c r="F11" s="151"/>
      <c r="G11" s="186">
        <f>SUM(G7:G10)</f>
        <v>0</v>
      </c>
      <c r="H11" s="186">
        <f>SUM(H7:H10)</f>
        <v>0</v>
      </c>
      <c r="I11" s="186"/>
      <c r="J11" s="152">
        <f>SUM(J7:J10)</f>
        <v>0</v>
      </c>
      <c r="K11" s="773" t="s">
        <v>235</v>
      </c>
      <c r="L11" s="773"/>
    </row>
    <row r="12" spans="1:18" ht="37.5" customHeight="1">
      <c r="A12" s="765" t="s">
        <v>149</v>
      </c>
      <c r="B12" s="765"/>
      <c r="C12" s="765"/>
      <c r="D12" s="765"/>
      <c r="E12" s="765"/>
      <c r="F12" s="765"/>
      <c r="G12" s="765"/>
      <c r="H12" s="765"/>
      <c r="I12" s="765"/>
      <c r="J12" s="765"/>
      <c r="K12" s="765"/>
      <c r="L12" s="765"/>
    </row>
    <row r="13" spans="1:18" ht="36" customHeight="1">
      <c r="A13" s="149" t="s">
        <v>1</v>
      </c>
      <c r="B13" s="147" t="s">
        <v>78</v>
      </c>
      <c r="C13" s="147" t="s">
        <v>3</v>
      </c>
      <c r="D13" s="147" t="s">
        <v>4</v>
      </c>
      <c r="E13" s="147" t="s">
        <v>5</v>
      </c>
      <c r="F13" s="147" t="s">
        <v>6</v>
      </c>
      <c r="G13" s="147" t="s">
        <v>59</v>
      </c>
      <c r="H13" s="147" t="s">
        <v>60</v>
      </c>
      <c r="I13" s="147" t="s">
        <v>9</v>
      </c>
      <c r="J13" s="147" t="s">
        <v>79</v>
      </c>
      <c r="K13" s="148" t="s">
        <v>86</v>
      </c>
      <c r="L13" s="148" t="s">
        <v>12</v>
      </c>
    </row>
    <row r="14" spans="1:18" ht="23.25" customHeight="1">
      <c r="A14" s="37">
        <v>1</v>
      </c>
      <c r="B14" s="187" t="s">
        <v>201</v>
      </c>
      <c r="C14" s="7" t="s">
        <v>14</v>
      </c>
      <c r="D14" s="144">
        <f>D6*1666/100*40</f>
        <v>0</v>
      </c>
      <c r="E14" s="162">
        <v>13</v>
      </c>
      <c r="F14" s="162">
        <f>400/E14</f>
        <v>30.76923076923077</v>
      </c>
      <c r="G14" s="162">
        <f>D14*1/E14</f>
        <v>0</v>
      </c>
      <c r="H14" s="142">
        <f>G14*F14*E14</f>
        <v>0</v>
      </c>
      <c r="I14" s="42">
        <v>66</v>
      </c>
      <c r="J14" s="143">
        <f>G14/I14</f>
        <v>0</v>
      </c>
      <c r="K14" s="42">
        <f>J14*E14</f>
        <v>0</v>
      </c>
      <c r="L14" s="57" t="s">
        <v>222</v>
      </c>
      <c r="M14" s="112"/>
      <c r="R14" s="34"/>
    </row>
    <row r="15" spans="1:18" ht="23.25" customHeight="1">
      <c r="A15" s="37">
        <v>2</v>
      </c>
      <c r="B15" s="187" t="s">
        <v>202</v>
      </c>
      <c r="C15" s="7" t="s">
        <v>14</v>
      </c>
      <c r="D15" s="144">
        <f>D6/100*10*1000/100*40</f>
        <v>0</v>
      </c>
      <c r="E15" s="162">
        <v>13</v>
      </c>
      <c r="F15" s="162">
        <f t="shared" ref="F15:F17" si="5">400/E15</f>
        <v>30.76923076923077</v>
      </c>
      <c r="G15" s="162">
        <f t="shared" ref="G15:G17" si="6">D15*1/E15</f>
        <v>0</v>
      </c>
      <c r="H15" s="142">
        <f t="shared" ref="H15:H17" si="7">G15*F15*E15</f>
        <v>0</v>
      </c>
      <c r="I15" s="42">
        <v>66</v>
      </c>
      <c r="J15" s="143">
        <f t="shared" ref="J15:J17" si="8">G15/I15</f>
        <v>0</v>
      </c>
      <c r="K15" s="42">
        <f t="shared" ref="K15:K17" si="9">J15*E15</f>
        <v>0</v>
      </c>
      <c r="L15" s="57" t="s">
        <v>222</v>
      </c>
      <c r="M15" s="112"/>
      <c r="R15" s="34"/>
    </row>
    <row r="16" spans="1:18" ht="23.25" customHeight="1">
      <c r="A16" s="37">
        <v>3</v>
      </c>
      <c r="B16" s="187" t="s">
        <v>203</v>
      </c>
      <c r="C16" s="7" t="s">
        <v>227</v>
      </c>
      <c r="D16" s="144">
        <f>D6*2/100*40</f>
        <v>0</v>
      </c>
      <c r="E16" s="162">
        <v>0.5</v>
      </c>
      <c r="F16" s="162">
        <f t="shared" si="5"/>
        <v>800</v>
      </c>
      <c r="G16" s="162">
        <f t="shared" si="6"/>
        <v>0</v>
      </c>
      <c r="H16" s="142">
        <f t="shared" si="7"/>
        <v>0</v>
      </c>
      <c r="I16" s="42">
        <v>66</v>
      </c>
      <c r="J16" s="143">
        <f t="shared" si="8"/>
        <v>0</v>
      </c>
      <c r="K16" s="42">
        <f t="shared" si="9"/>
        <v>0</v>
      </c>
      <c r="L16" s="57" t="s">
        <v>222</v>
      </c>
      <c r="M16" s="112"/>
      <c r="R16" s="34"/>
    </row>
    <row r="17" spans="1:18" ht="23.25" customHeight="1">
      <c r="A17" s="37">
        <v>4</v>
      </c>
      <c r="B17" s="187" t="s">
        <v>204</v>
      </c>
      <c r="C17" s="7" t="s">
        <v>229</v>
      </c>
      <c r="D17" s="144">
        <f>D6*800/100*40</f>
        <v>0</v>
      </c>
      <c r="E17" s="162">
        <v>13</v>
      </c>
      <c r="F17" s="162">
        <f t="shared" si="5"/>
        <v>30.76923076923077</v>
      </c>
      <c r="G17" s="162">
        <f t="shared" si="6"/>
        <v>0</v>
      </c>
      <c r="H17" s="142">
        <f t="shared" si="7"/>
        <v>0</v>
      </c>
      <c r="I17" s="42">
        <v>66</v>
      </c>
      <c r="J17" s="143">
        <f t="shared" si="8"/>
        <v>0</v>
      </c>
      <c r="K17" s="42">
        <f t="shared" si="9"/>
        <v>0</v>
      </c>
      <c r="L17" s="57" t="s">
        <v>222</v>
      </c>
      <c r="M17" s="112"/>
      <c r="R17" s="34"/>
    </row>
    <row r="18" spans="1:18" ht="30" customHeight="1">
      <c r="A18" s="766" t="s">
        <v>213</v>
      </c>
      <c r="B18" s="766"/>
      <c r="C18" s="154"/>
      <c r="D18" s="155"/>
      <c r="E18" s="156"/>
      <c r="F18" s="157"/>
      <c r="G18" s="158">
        <f>SUM(G14:G17)</f>
        <v>0</v>
      </c>
      <c r="H18" s="156">
        <f>SUM(H14:H17)</f>
        <v>0</v>
      </c>
      <c r="I18" s="159"/>
      <c r="J18" s="160">
        <f>SUM(J14:J17)</f>
        <v>0</v>
      </c>
      <c r="K18" s="767" t="s">
        <v>225</v>
      </c>
      <c r="L18" s="767"/>
      <c r="M18" s="112"/>
      <c r="R18" s="34"/>
    </row>
    <row r="19" spans="1:18" ht="33" customHeight="1">
      <c r="A19" s="765" t="s">
        <v>61</v>
      </c>
      <c r="B19" s="765"/>
      <c r="C19" s="765"/>
      <c r="D19" s="765"/>
      <c r="E19" s="765"/>
      <c r="F19" s="765"/>
      <c r="G19" s="765"/>
      <c r="H19" s="765"/>
      <c r="I19" s="765"/>
      <c r="J19" s="765"/>
      <c r="K19" s="765"/>
      <c r="L19" s="765"/>
    </row>
    <row r="20" spans="1:18" ht="48.75" customHeight="1">
      <c r="A20" s="149" t="s">
        <v>1</v>
      </c>
      <c r="B20" s="147" t="s">
        <v>78</v>
      </c>
      <c r="C20" s="147" t="s">
        <v>3</v>
      </c>
      <c r="D20" s="147" t="s">
        <v>4</v>
      </c>
      <c r="E20" s="147" t="s">
        <v>5</v>
      </c>
      <c r="F20" s="147" t="s">
        <v>6</v>
      </c>
      <c r="G20" s="147" t="s">
        <v>59</v>
      </c>
      <c r="H20" s="147" t="s">
        <v>60</v>
      </c>
      <c r="I20" s="147" t="s">
        <v>9</v>
      </c>
      <c r="J20" s="147" t="s">
        <v>79</v>
      </c>
      <c r="K20" s="148" t="s">
        <v>86</v>
      </c>
      <c r="L20" s="148" t="s">
        <v>12</v>
      </c>
    </row>
    <row r="21" spans="1:18" ht="23.25" customHeight="1">
      <c r="A21" s="37">
        <v>1</v>
      </c>
      <c r="B21" s="187" t="s">
        <v>201</v>
      </c>
      <c r="C21" s="7" t="s">
        <v>14</v>
      </c>
      <c r="D21" s="144">
        <f>D6*1666/100*40</f>
        <v>0</v>
      </c>
      <c r="E21" s="162">
        <v>13</v>
      </c>
      <c r="F21" s="162">
        <f>400/E21</f>
        <v>30.76923076923077</v>
      </c>
      <c r="G21" s="162">
        <f>D21*1/E21</f>
        <v>0</v>
      </c>
      <c r="H21" s="142">
        <f>G21*F21*E21</f>
        <v>0</v>
      </c>
      <c r="I21" s="42">
        <v>66</v>
      </c>
      <c r="J21" s="143">
        <f>G21/I21</f>
        <v>0</v>
      </c>
      <c r="K21" s="42">
        <f>J21*E21</f>
        <v>0</v>
      </c>
      <c r="L21" s="57" t="s">
        <v>223</v>
      </c>
      <c r="M21" s="112"/>
      <c r="R21" s="34"/>
    </row>
    <row r="22" spans="1:18" ht="23.25" customHeight="1">
      <c r="A22" s="37">
        <v>2</v>
      </c>
      <c r="B22" s="187" t="s">
        <v>202</v>
      </c>
      <c r="C22" s="7" t="s">
        <v>14</v>
      </c>
      <c r="D22" s="144">
        <f>D6/100*10*1000/100*40</f>
        <v>0</v>
      </c>
      <c r="E22" s="162">
        <v>13</v>
      </c>
      <c r="F22" s="162">
        <f t="shared" ref="F22:F24" si="10">400/E22</f>
        <v>30.76923076923077</v>
      </c>
      <c r="G22" s="162">
        <f t="shared" ref="G22:G24" si="11">D22*1/E22</f>
        <v>0</v>
      </c>
      <c r="H22" s="142">
        <f t="shared" ref="H22:H24" si="12">G22*F22*E22</f>
        <v>0</v>
      </c>
      <c r="I22" s="42">
        <v>66</v>
      </c>
      <c r="J22" s="143">
        <f t="shared" ref="J22:J24" si="13">G22/I22</f>
        <v>0</v>
      </c>
      <c r="K22" s="42">
        <f t="shared" ref="K22:K24" si="14">J22*E22</f>
        <v>0</v>
      </c>
      <c r="L22" s="57" t="s">
        <v>223</v>
      </c>
      <c r="M22" s="112"/>
      <c r="R22" s="34"/>
    </row>
    <row r="23" spans="1:18" ht="23.25" customHeight="1">
      <c r="A23" s="37">
        <v>3</v>
      </c>
      <c r="B23" s="187" t="s">
        <v>203</v>
      </c>
      <c r="C23" s="7" t="s">
        <v>227</v>
      </c>
      <c r="D23" s="144">
        <f>D6*2/100*40</f>
        <v>0</v>
      </c>
      <c r="E23" s="162">
        <v>0.5</v>
      </c>
      <c r="F23" s="162">
        <f t="shared" si="10"/>
        <v>800</v>
      </c>
      <c r="G23" s="162">
        <f t="shared" si="11"/>
        <v>0</v>
      </c>
      <c r="H23" s="142">
        <f t="shared" si="12"/>
        <v>0</v>
      </c>
      <c r="I23" s="42">
        <v>66</v>
      </c>
      <c r="J23" s="143">
        <f t="shared" si="13"/>
        <v>0</v>
      </c>
      <c r="K23" s="42">
        <f t="shared" si="14"/>
        <v>0</v>
      </c>
      <c r="L23" s="57" t="s">
        <v>223</v>
      </c>
      <c r="M23" s="112"/>
      <c r="R23" s="34"/>
    </row>
    <row r="24" spans="1:18" ht="23.25" customHeight="1">
      <c r="A24" s="37">
        <v>4</v>
      </c>
      <c r="B24" s="187" t="s">
        <v>204</v>
      </c>
      <c r="C24" s="7" t="s">
        <v>229</v>
      </c>
      <c r="D24" s="144">
        <f>D6*800/100*40</f>
        <v>0</v>
      </c>
      <c r="E24" s="162">
        <v>13</v>
      </c>
      <c r="F24" s="162">
        <f t="shared" si="10"/>
        <v>30.76923076923077</v>
      </c>
      <c r="G24" s="162">
        <f t="shared" si="11"/>
        <v>0</v>
      </c>
      <c r="H24" s="142">
        <f t="shared" si="12"/>
        <v>0</v>
      </c>
      <c r="I24" s="42">
        <v>66</v>
      </c>
      <c r="J24" s="143">
        <f t="shared" si="13"/>
        <v>0</v>
      </c>
      <c r="K24" s="42">
        <f t="shared" si="14"/>
        <v>0</v>
      </c>
      <c r="L24" s="57" t="s">
        <v>223</v>
      </c>
      <c r="M24" s="112"/>
      <c r="R24" s="34"/>
    </row>
    <row r="25" spans="1:18" ht="33" customHeight="1">
      <c r="A25" s="766" t="s">
        <v>214</v>
      </c>
      <c r="B25" s="766"/>
      <c r="C25" s="154"/>
      <c r="D25" s="155"/>
      <c r="E25" s="156"/>
      <c r="F25" s="157"/>
      <c r="G25" s="158">
        <f>SUM(G21:G24)</f>
        <v>0</v>
      </c>
      <c r="H25" s="156">
        <f>SUM(H21:H24)</f>
        <v>0</v>
      </c>
      <c r="I25" s="159"/>
      <c r="J25" s="160">
        <f>SUM(J21:J24)</f>
        <v>0</v>
      </c>
      <c r="K25" s="767" t="s">
        <v>226</v>
      </c>
      <c r="L25" s="767"/>
      <c r="M25" s="112"/>
      <c r="R25" s="34"/>
    </row>
    <row r="26" spans="1:18" ht="32.25" customHeight="1">
      <c r="A26" s="765" t="s">
        <v>207</v>
      </c>
      <c r="B26" s="765"/>
      <c r="C26" s="765"/>
      <c r="D26" s="765"/>
      <c r="E26" s="765"/>
      <c r="F26" s="765"/>
      <c r="G26" s="765"/>
      <c r="H26" s="765"/>
      <c r="I26" s="765"/>
      <c r="J26" s="765"/>
      <c r="K26" s="765"/>
      <c r="L26" s="765"/>
      <c r="M26" s="43"/>
      <c r="N26" s="43"/>
    </row>
    <row r="27" spans="1:18" ht="45" customHeight="1">
      <c r="A27" s="149" t="s">
        <v>1</v>
      </c>
      <c r="B27" s="147" t="s">
        <v>78</v>
      </c>
      <c r="C27" s="147" t="s">
        <v>3</v>
      </c>
      <c r="D27" s="147" t="s">
        <v>4</v>
      </c>
      <c r="E27" s="147" t="s">
        <v>5</v>
      </c>
      <c r="F27" s="147" t="s">
        <v>6</v>
      </c>
      <c r="G27" s="147" t="s">
        <v>59</v>
      </c>
      <c r="H27" s="147" t="s">
        <v>60</v>
      </c>
      <c r="I27" s="147" t="s">
        <v>9</v>
      </c>
      <c r="J27" s="147" t="s">
        <v>79</v>
      </c>
      <c r="K27" s="148" t="s">
        <v>86</v>
      </c>
      <c r="L27" s="148" t="s">
        <v>12</v>
      </c>
    </row>
    <row r="28" spans="1:18" ht="23.25" customHeight="1">
      <c r="A28" s="37">
        <v>1</v>
      </c>
      <c r="B28" s="187" t="s">
        <v>205</v>
      </c>
      <c r="C28" s="7" t="s">
        <v>28</v>
      </c>
      <c r="D28" s="166">
        <f>D6*800</f>
        <v>0</v>
      </c>
      <c r="E28" s="162">
        <v>50</v>
      </c>
      <c r="F28" s="162">
        <f>400/E28</f>
        <v>8</v>
      </c>
      <c r="G28" s="162">
        <f>D28*1/E28</f>
        <v>0</v>
      </c>
      <c r="H28" s="162">
        <f>G28*F28*E28</f>
        <v>0</v>
      </c>
      <c r="I28" s="162">
        <v>22</v>
      </c>
      <c r="J28" s="162">
        <f>G28/I28</f>
        <v>0</v>
      </c>
      <c r="K28" s="162">
        <f>J28*E28</f>
        <v>0</v>
      </c>
      <c r="L28" s="57" t="s">
        <v>224</v>
      </c>
      <c r="M28" s="112"/>
      <c r="R28" s="34"/>
    </row>
    <row r="29" spans="1:18" ht="23.25" customHeight="1">
      <c r="A29" s="37">
        <v>2</v>
      </c>
      <c r="B29" s="187" t="s">
        <v>206</v>
      </c>
      <c r="C29" s="7" t="s">
        <v>219</v>
      </c>
      <c r="D29" s="166">
        <f>D6</f>
        <v>0</v>
      </c>
      <c r="E29" s="162">
        <v>10</v>
      </c>
      <c r="F29" s="162">
        <f t="shared" ref="F29:F31" si="15">400/E29</f>
        <v>40</v>
      </c>
      <c r="G29" s="162">
        <f t="shared" ref="G29:G31" si="16">D29*1/E29</f>
        <v>0</v>
      </c>
      <c r="H29" s="162">
        <f t="shared" ref="H29:H31" si="17">G29*F29*E29</f>
        <v>0</v>
      </c>
      <c r="I29" s="162">
        <v>22</v>
      </c>
      <c r="J29" s="162">
        <f t="shared" ref="J29:J31" si="18">G29/I29</f>
        <v>0</v>
      </c>
      <c r="K29" s="162">
        <f t="shared" ref="K29:K31" si="19">J29*E29</f>
        <v>0</v>
      </c>
      <c r="L29" s="57" t="s">
        <v>224</v>
      </c>
      <c r="M29" s="112"/>
      <c r="R29" s="34"/>
    </row>
    <row r="30" spans="1:18" ht="23.25" customHeight="1">
      <c r="A30" s="37">
        <v>3</v>
      </c>
      <c r="B30" s="187" t="s">
        <v>216</v>
      </c>
      <c r="C30" s="7" t="s">
        <v>219</v>
      </c>
      <c r="D30" s="166">
        <f>D6/100*10</f>
        <v>0</v>
      </c>
      <c r="E30" s="162">
        <v>1</v>
      </c>
      <c r="F30" s="162">
        <f t="shared" si="15"/>
        <v>400</v>
      </c>
      <c r="G30" s="162">
        <f t="shared" si="16"/>
        <v>0</v>
      </c>
      <c r="H30" s="162">
        <f t="shared" si="17"/>
        <v>0</v>
      </c>
      <c r="I30" s="162">
        <v>22</v>
      </c>
      <c r="J30" s="162">
        <f t="shared" si="18"/>
        <v>0</v>
      </c>
      <c r="K30" s="162">
        <f t="shared" si="19"/>
        <v>0</v>
      </c>
      <c r="L30" s="57" t="s">
        <v>224</v>
      </c>
      <c r="M30" s="112"/>
      <c r="R30" s="34"/>
    </row>
    <row r="31" spans="1:18" ht="23.25" customHeight="1">
      <c r="A31" s="37">
        <v>4</v>
      </c>
      <c r="B31" s="187" t="s">
        <v>230</v>
      </c>
      <c r="C31" s="7"/>
      <c r="D31" s="166">
        <f>D28</f>
        <v>0</v>
      </c>
      <c r="E31" s="162">
        <v>250</v>
      </c>
      <c r="F31" s="162">
        <f t="shared" si="15"/>
        <v>1.6</v>
      </c>
      <c r="G31" s="162">
        <f t="shared" si="16"/>
        <v>0</v>
      </c>
      <c r="H31" s="162">
        <f t="shared" si="17"/>
        <v>0</v>
      </c>
      <c r="I31" s="162">
        <v>22</v>
      </c>
      <c r="J31" s="162">
        <f t="shared" si="18"/>
        <v>0</v>
      </c>
      <c r="K31" s="162">
        <f t="shared" si="19"/>
        <v>0</v>
      </c>
      <c r="L31" s="57"/>
      <c r="M31" s="112"/>
      <c r="R31" s="34"/>
    </row>
    <row r="32" spans="1:18" ht="35.25" customHeight="1">
      <c r="A32" s="766" t="s">
        <v>208</v>
      </c>
      <c r="B32" s="766"/>
      <c r="C32" s="161"/>
      <c r="D32" s="161"/>
      <c r="E32" s="161"/>
      <c r="F32" s="163"/>
      <c r="G32" s="163">
        <f>SUM(G28:G30)</f>
        <v>0</v>
      </c>
      <c r="H32" s="163">
        <f>SUM(H28:H31)</f>
        <v>0</v>
      </c>
      <c r="I32" s="164"/>
      <c r="J32" s="165">
        <f>SUM(J28:J31)</f>
        <v>0</v>
      </c>
      <c r="K32" s="766" t="s">
        <v>231</v>
      </c>
      <c r="L32" s="766"/>
      <c r="M32" s="112"/>
      <c r="R32" s="34"/>
    </row>
    <row r="33" spans="1:12" ht="28.5" customHeight="1">
      <c r="A33" s="726" t="s">
        <v>233</v>
      </c>
      <c r="B33" s="726"/>
      <c r="C33" s="69"/>
      <c r="D33" s="70"/>
      <c r="E33" s="70"/>
      <c r="F33" s="70"/>
      <c r="G33" s="71"/>
      <c r="H33" s="71">
        <f>H11+H18+H25+H32</f>
        <v>0</v>
      </c>
      <c r="I33" s="71"/>
      <c r="J33" s="71"/>
      <c r="K33" s="183"/>
      <c r="L33" s="184"/>
    </row>
    <row r="34" spans="1:12" ht="24" customHeight="1">
      <c r="A34" s="727" t="s">
        <v>234</v>
      </c>
      <c r="B34" s="727"/>
      <c r="C34" s="178"/>
      <c r="D34" s="179"/>
      <c r="E34" s="179"/>
      <c r="F34" s="179"/>
      <c r="G34" s="180"/>
      <c r="H34" s="180">
        <f>H33/68</f>
        <v>0</v>
      </c>
      <c r="I34" s="180"/>
      <c r="J34" s="180"/>
      <c r="K34" s="181"/>
      <c r="L34" s="182"/>
    </row>
    <row r="35" spans="1:12" s="244" customFormat="1" ht="26.25" customHeight="1">
      <c r="A35" s="764" t="s">
        <v>218</v>
      </c>
      <c r="B35" s="764"/>
      <c r="D35" s="68" t="s">
        <v>44</v>
      </c>
      <c r="E35" s="68" t="s">
        <v>217</v>
      </c>
      <c r="F35" s="176"/>
      <c r="G35" s="176"/>
      <c r="J35" s="68"/>
      <c r="L35" s="177"/>
    </row>
    <row r="36" spans="1:12" s="244" customFormat="1" ht="26.25" customHeight="1">
      <c r="A36" s="176" t="s">
        <v>236</v>
      </c>
      <c r="B36" s="247"/>
      <c r="C36" s="248"/>
      <c r="D36" s="68"/>
      <c r="F36" s="243" t="s">
        <v>238</v>
      </c>
      <c r="G36" s="176"/>
      <c r="J36" s="243"/>
      <c r="L36" s="177"/>
    </row>
    <row r="37" spans="1:12" s="244" customFormat="1" ht="26.25" customHeight="1">
      <c r="A37" s="248"/>
      <c r="B37" s="249"/>
      <c r="D37" s="133"/>
      <c r="F37" s="132"/>
      <c r="G37" s="248" t="s">
        <v>198</v>
      </c>
      <c r="J37" s="248"/>
      <c r="K37" s="250"/>
      <c r="L37" s="68"/>
    </row>
    <row r="38" spans="1:12" s="244" customFormat="1" ht="26.25" customHeight="1">
      <c r="A38" s="248"/>
      <c r="B38" s="249"/>
      <c r="D38" s="133"/>
      <c r="F38" s="132"/>
      <c r="G38" s="132"/>
      <c r="H38" s="244" t="s">
        <v>199</v>
      </c>
      <c r="K38" s="250"/>
      <c r="L38" s="68"/>
    </row>
    <row r="39" spans="1:12" s="244" customFormat="1" ht="26.25" customHeight="1">
      <c r="A39" s="248" t="s">
        <v>89</v>
      </c>
      <c r="B39" s="249"/>
      <c r="C39" s="243" t="s">
        <v>200</v>
      </c>
      <c r="G39" s="251" t="s">
        <v>48</v>
      </c>
      <c r="K39" s="68" t="s">
        <v>49</v>
      </c>
      <c r="L39" s="251"/>
    </row>
    <row r="40" spans="1:12" s="244" customFormat="1" ht="26.25" customHeight="1">
      <c r="B40" s="252"/>
      <c r="C40" s="244" t="s">
        <v>52</v>
      </c>
      <c r="G40" s="244" t="s">
        <v>53</v>
      </c>
      <c r="K40" s="137" t="s">
        <v>54</v>
      </c>
      <c r="L40" s="253" t="s">
        <v>81</v>
      </c>
    </row>
  </sheetData>
  <mergeCells count="18">
    <mergeCell ref="A1:L1"/>
    <mergeCell ref="A2:L2"/>
    <mergeCell ref="A3:L3"/>
    <mergeCell ref="A4:L4"/>
    <mergeCell ref="A11:C11"/>
    <mergeCell ref="K11:L11"/>
    <mergeCell ref="A35:B35"/>
    <mergeCell ref="A12:L12"/>
    <mergeCell ref="A18:B18"/>
    <mergeCell ref="K18:L18"/>
    <mergeCell ref="A19:L19"/>
    <mergeCell ref="A25:B25"/>
    <mergeCell ref="K25:L25"/>
    <mergeCell ref="A26:L26"/>
    <mergeCell ref="A32:B32"/>
    <mergeCell ref="K32:L32"/>
    <mergeCell ref="A33:B33"/>
    <mergeCell ref="A34:B34"/>
  </mergeCells>
  <printOptions horizontalCentered="1"/>
  <pageMargins left="0.35" right="0.36" top="0.32" bottom="0.28999999999999998" header="0.17" footer="0.18"/>
  <pageSetup paperSize="9" scale="4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R40"/>
  <sheetViews>
    <sheetView rightToLeft="1" view="pageBreakPreview" topLeftCell="A22" zoomScale="60" workbookViewId="0">
      <selection activeCell="H15" sqref="H15"/>
    </sheetView>
  </sheetViews>
  <sheetFormatPr defaultRowHeight="15"/>
  <cols>
    <col min="1" max="1" width="7" customWidth="1"/>
    <col min="2" max="2" width="48.25" customWidth="1"/>
    <col min="3" max="3" width="10" customWidth="1"/>
    <col min="4" max="4" width="17" bestFit="1" customWidth="1"/>
    <col min="5" max="5" width="13.25" customWidth="1"/>
    <col min="6" max="6" width="14.625" customWidth="1"/>
    <col min="7" max="7" width="14.75" customWidth="1"/>
    <col min="8" max="8" width="18.625" customWidth="1"/>
    <col min="9" max="10" width="13.125" customWidth="1"/>
    <col min="11" max="11" width="19" customWidth="1"/>
    <col min="12" max="12" width="48.375" customWidth="1"/>
    <col min="13" max="13" width="10.75" bestFit="1" customWidth="1"/>
    <col min="14" max="14" width="17.625" customWidth="1"/>
    <col min="15" max="15" width="17" customWidth="1"/>
    <col min="16" max="16" width="24.125" customWidth="1"/>
    <col min="18" max="18" width="11.75" customWidth="1"/>
    <col min="20" max="20" width="13.375" customWidth="1"/>
  </cols>
  <sheetData>
    <row r="1" spans="1:18" ht="60.75" customHeight="1">
      <c r="A1" s="750" t="s">
        <v>241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</row>
    <row r="2" spans="1:18" ht="27.75" customHeight="1" thickBot="1">
      <c r="A2" s="751" t="s">
        <v>215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N2" s="34"/>
    </row>
    <row r="3" spans="1:18" ht="41.25" customHeight="1" thickBot="1">
      <c r="A3" s="768" t="s">
        <v>232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70"/>
    </row>
    <row r="4" spans="1:18" s="141" customFormat="1" ht="32.25" customHeight="1">
      <c r="A4" s="771" t="s">
        <v>209</v>
      </c>
      <c r="B4" s="771"/>
      <c r="C4" s="771"/>
      <c r="D4" s="771"/>
      <c r="E4" s="771"/>
      <c r="F4" s="771"/>
      <c r="G4" s="771"/>
      <c r="H4" s="771"/>
      <c r="I4" s="771"/>
      <c r="J4" s="771"/>
      <c r="K4" s="771"/>
      <c r="L4" s="771"/>
    </row>
    <row r="5" spans="1:18" s="141" customFormat="1" ht="38.25" customHeight="1">
      <c r="A5" s="145" t="s">
        <v>1</v>
      </c>
      <c r="B5" s="146" t="s">
        <v>78</v>
      </c>
      <c r="C5" s="146" t="s">
        <v>3</v>
      </c>
      <c r="D5" s="147" t="s">
        <v>4</v>
      </c>
      <c r="E5" s="147" t="s">
        <v>5</v>
      </c>
      <c r="F5" s="147" t="s">
        <v>6</v>
      </c>
      <c r="G5" s="147" t="s">
        <v>59</v>
      </c>
      <c r="H5" s="147" t="s">
        <v>8</v>
      </c>
      <c r="I5" s="147" t="s">
        <v>210</v>
      </c>
      <c r="J5" s="147" t="s">
        <v>211</v>
      </c>
      <c r="K5" s="147" t="s">
        <v>212</v>
      </c>
      <c r="L5" s="147" t="s">
        <v>12</v>
      </c>
    </row>
    <row r="6" spans="1:18" s="141" customFormat="1" ht="31.5" customHeight="1">
      <c r="A6" s="188"/>
      <c r="B6" s="189" t="s">
        <v>237</v>
      </c>
      <c r="C6" s="189" t="s">
        <v>41</v>
      </c>
      <c r="D6" s="185">
        <v>0</v>
      </c>
      <c r="E6" s="185"/>
      <c r="F6" s="185"/>
      <c r="G6" s="185"/>
      <c r="H6" s="185"/>
      <c r="I6" s="185"/>
      <c r="J6" s="185"/>
      <c r="K6" s="185"/>
      <c r="L6" s="185"/>
    </row>
    <row r="7" spans="1:18" s="44" customFormat="1" ht="23.25" customHeight="1">
      <c r="A7" s="32">
        <v>1</v>
      </c>
      <c r="B7" s="140" t="s">
        <v>201</v>
      </c>
      <c r="C7" s="142" t="s">
        <v>228</v>
      </c>
      <c r="D7" s="144">
        <f>D6*1666/100*20</f>
        <v>0</v>
      </c>
      <c r="E7" s="162">
        <v>13</v>
      </c>
      <c r="F7" s="162">
        <f>400/E7</f>
        <v>30.76923076923077</v>
      </c>
      <c r="G7" s="162">
        <f>D7*1/E7</f>
        <v>0</v>
      </c>
      <c r="H7" s="142">
        <f>G7*F7*E7</f>
        <v>0</v>
      </c>
      <c r="I7" s="42">
        <v>22</v>
      </c>
      <c r="J7" s="143">
        <f>G7/I7</f>
        <v>0</v>
      </c>
      <c r="K7" s="42">
        <f>J7*E7</f>
        <v>0</v>
      </c>
      <c r="L7" s="113" t="s">
        <v>221</v>
      </c>
    </row>
    <row r="8" spans="1:18" s="44" customFormat="1" ht="23.25" customHeight="1">
      <c r="A8" s="32">
        <v>2</v>
      </c>
      <c r="B8" s="140" t="s">
        <v>202</v>
      </c>
      <c r="C8" s="142" t="s">
        <v>14</v>
      </c>
      <c r="D8" s="144">
        <f>D6/100*10*1000/100*20</f>
        <v>0</v>
      </c>
      <c r="E8" s="162">
        <v>13</v>
      </c>
      <c r="F8" s="162">
        <f t="shared" ref="F8:F10" si="0">400/E8</f>
        <v>30.76923076923077</v>
      </c>
      <c r="G8" s="162">
        <f t="shared" ref="G8:G10" si="1">D8*1/E8</f>
        <v>0</v>
      </c>
      <c r="H8" s="42">
        <f t="shared" ref="H8:H10" si="2">G8*F8*E8</f>
        <v>0</v>
      </c>
      <c r="I8" s="42">
        <v>22</v>
      </c>
      <c r="J8" s="143">
        <f t="shared" ref="J8:J10" si="3">G8/I8</f>
        <v>0</v>
      </c>
      <c r="K8" s="42">
        <f t="shared" ref="K8:K10" si="4">J8*E8</f>
        <v>0</v>
      </c>
      <c r="L8" s="113" t="s">
        <v>221</v>
      </c>
    </row>
    <row r="9" spans="1:18" s="44" customFormat="1" ht="23.25" customHeight="1">
      <c r="A9" s="32">
        <v>3</v>
      </c>
      <c r="B9" s="140" t="s">
        <v>203</v>
      </c>
      <c r="C9" s="142" t="s">
        <v>227</v>
      </c>
      <c r="D9" s="144">
        <f>D6*2/100*20</f>
        <v>0</v>
      </c>
      <c r="E9" s="162">
        <v>0.5</v>
      </c>
      <c r="F9" s="162">
        <f t="shared" si="0"/>
        <v>800</v>
      </c>
      <c r="G9" s="162">
        <f t="shared" si="1"/>
        <v>0</v>
      </c>
      <c r="H9" s="42">
        <f t="shared" si="2"/>
        <v>0</v>
      </c>
      <c r="I9" s="42">
        <v>22</v>
      </c>
      <c r="J9" s="143">
        <f t="shared" si="3"/>
        <v>0</v>
      </c>
      <c r="K9" s="42">
        <f t="shared" si="4"/>
        <v>0</v>
      </c>
      <c r="L9" s="113" t="s">
        <v>221</v>
      </c>
    </row>
    <row r="10" spans="1:18" s="44" customFormat="1" ht="23.25" customHeight="1">
      <c r="A10" s="32">
        <v>4</v>
      </c>
      <c r="B10" s="140" t="s">
        <v>204</v>
      </c>
      <c r="C10" s="142" t="s">
        <v>229</v>
      </c>
      <c r="D10" s="144">
        <f>D6*800/100*20</f>
        <v>0</v>
      </c>
      <c r="E10" s="162">
        <v>13</v>
      </c>
      <c r="F10" s="162">
        <f t="shared" si="0"/>
        <v>30.76923076923077</v>
      </c>
      <c r="G10" s="162">
        <f t="shared" si="1"/>
        <v>0</v>
      </c>
      <c r="H10" s="42">
        <f t="shared" si="2"/>
        <v>0</v>
      </c>
      <c r="I10" s="42">
        <v>22</v>
      </c>
      <c r="J10" s="143">
        <f t="shared" si="3"/>
        <v>0</v>
      </c>
      <c r="K10" s="42">
        <f t="shared" si="4"/>
        <v>0</v>
      </c>
      <c r="L10" s="139" t="s">
        <v>221</v>
      </c>
    </row>
    <row r="11" spans="1:18" s="44" customFormat="1" ht="29.25" customHeight="1">
      <c r="A11" s="772" t="s">
        <v>220</v>
      </c>
      <c r="B11" s="772"/>
      <c r="C11" s="772"/>
      <c r="D11" s="150"/>
      <c r="E11" s="151"/>
      <c r="F11" s="151"/>
      <c r="G11" s="153">
        <f>SUM(G7:G10)</f>
        <v>0</v>
      </c>
      <c r="H11" s="153">
        <f>SUM(H7:H10)</f>
        <v>0</v>
      </c>
      <c r="I11" s="153"/>
      <c r="J11" s="152">
        <f>SUM(J7:J10)</f>
        <v>0</v>
      </c>
      <c r="K11" s="773" t="s">
        <v>235</v>
      </c>
      <c r="L11" s="773"/>
    </row>
    <row r="12" spans="1:18" s="120" customFormat="1" ht="37.5" customHeight="1">
      <c r="A12" s="765" t="s">
        <v>149</v>
      </c>
      <c r="B12" s="765"/>
      <c r="C12" s="765"/>
      <c r="D12" s="765"/>
      <c r="E12" s="765"/>
      <c r="F12" s="765"/>
      <c r="G12" s="765"/>
      <c r="H12" s="765"/>
      <c r="I12" s="765"/>
      <c r="J12" s="765"/>
      <c r="K12" s="765"/>
      <c r="L12" s="765"/>
    </row>
    <row r="13" spans="1:18" ht="36" customHeight="1">
      <c r="A13" s="149" t="s">
        <v>1</v>
      </c>
      <c r="B13" s="147" t="s">
        <v>78</v>
      </c>
      <c r="C13" s="147" t="s">
        <v>3</v>
      </c>
      <c r="D13" s="147" t="s">
        <v>4</v>
      </c>
      <c r="E13" s="147" t="s">
        <v>5</v>
      </c>
      <c r="F13" s="147" t="s">
        <v>6</v>
      </c>
      <c r="G13" s="147" t="s">
        <v>59</v>
      </c>
      <c r="H13" s="147" t="s">
        <v>60</v>
      </c>
      <c r="I13" s="147" t="s">
        <v>9</v>
      </c>
      <c r="J13" s="147" t="s">
        <v>79</v>
      </c>
      <c r="K13" s="148" t="s">
        <v>86</v>
      </c>
      <c r="L13" s="148" t="s">
        <v>12</v>
      </c>
    </row>
    <row r="14" spans="1:18" s="120" customFormat="1" ht="23.25" customHeight="1">
      <c r="A14" s="37">
        <v>1</v>
      </c>
      <c r="B14" s="140" t="s">
        <v>201</v>
      </c>
      <c r="C14" s="7" t="s">
        <v>14</v>
      </c>
      <c r="D14" s="144">
        <f>D6*1666/100*40</f>
        <v>0</v>
      </c>
      <c r="E14" s="162">
        <v>13</v>
      </c>
      <c r="F14" s="162">
        <f>400/E14</f>
        <v>30.76923076923077</v>
      </c>
      <c r="G14" s="162">
        <f>D14*1/E14</f>
        <v>0</v>
      </c>
      <c r="H14" s="142">
        <f>G14*F14*E14</f>
        <v>0</v>
      </c>
      <c r="I14" s="42">
        <v>66</v>
      </c>
      <c r="J14" s="143">
        <f>G14/I14</f>
        <v>0</v>
      </c>
      <c r="K14" s="42">
        <f>J14*E14</f>
        <v>0</v>
      </c>
      <c r="L14" s="57" t="s">
        <v>222</v>
      </c>
      <c r="M14" s="112"/>
      <c r="R14" s="34"/>
    </row>
    <row r="15" spans="1:18" s="120" customFormat="1" ht="23.25" customHeight="1">
      <c r="A15" s="37">
        <v>2</v>
      </c>
      <c r="B15" s="140" t="s">
        <v>202</v>
      </c>
      <c r="C15" s="7" t="s">
        <v>14</v>
      </c>
      <c r="D15" s="144">
        <f>D6/100*10*1000/100*40</f>
        <v>0</v>
      </c>
      <c r="E15" s="162">
        <v>13</v>
      </c>
      <c r="F15" s="162">
        <f t="shared" ref="F15:F17" si="5">400/E15</f>
        <v>30.76923076923077</v>
      </c>
      <c r="G15" s="162">
        <f t="shared" ref="G15:G17" si="6">D15*1/E15</f>
        <v>0</v>
      </c>
      <c r="H15" s="142">
        <f t="shared" ref="H15:H17" si="7">G15*F15*E15</f>
        <v>0</v>
      </c>
      <c r="I15" s="42">
        <v>66</v>
      </c>
      <c r="J15" s="143">
        <f t="shared" ref="J15:J17" si="8">G15/I15</f>
        <v>0</v>
      </c>
      <c r="K15" s="42">
        <f t="shared" ref="K15:K17" si="9">J15*E15</f>
        <v>0</v>
      </c>
      <c r="L15" s="57" t="s">
        <v>222</v>
      </c>
      <c r="M15" s="112"/>
      <c r="R15" s="34"/>
    </row>
    <row r="16" spans="1:18" s="120" customFormat="1" ht="23.25" customHeight="1">
      <c r="A16" s="37">
        <v>3</v>
      </c>
      <c r="B16" s="140" t="s">
        <v>203</v>
      </c>
      <c r="C16" s="7" t="s">
        <v>227</v>
      </c>
      <c r="D16" s="144">
        <f>D6*2/100*40</f>
        <v>0</v>
      </c>
      <c r="E16" s="162">
        <v>0.5</v>
      </c>
      <c r="F16" s="162">
        <f t="shared" si="5"/>
        <v>800</v>
      </c>
      <c r="G16" s="162">
        <f t="shared" si="6"/>
        <v>0</v>
      </c>
      <c r="H16" s="142">
        <f t="shared" si="7"/>
        <v>0</v>
      </c>
      <c r="I16" s="42">
        <v>66</v>
      </c>
      <c r="J16" s="143">
        <f t="shared" si="8"/>
        <v>0</v>
      </c>
      <c r="K16" s="42">
        <f t="shared" si="9"/>
        <v>0</v>
      </c>
      <c r="L16" s="57" t="s">
        <v>222</v>
      </c>
      <c r="M16" s="112"/>
      <c r="R16" s="34"/>
    </row>
    <row r="17" spans="1:18" s="120" customFormat="1" ht="23.25" customHeight="1">
      <c r="A17" s="37">
        <v>4</v>
      </c>
      <c r="B17" s="140" t="s">
        <v>204</v>
      </c>
      <c r="C17" s="7" t="s">
        <v>229</v>
      </c>
      <c r="D17" s="144">
        <f>D6*800/100*40</f>
        <v>0</v>
      </c>
      <c r="E17" s="162">
        <v>13</v>
      </c>
      <c r="F17" s="162">
        <f t="shared" si="5"/>
        <v>30.76923076923077</v>
      </c>
      <c r="G17" s="162">
        <f t="shared" si="6"/>
        <v>0</v>
      </c>
      <c r="H17" s="142">
        <f t="shared" si="7"/>
        <v>0</v>
      </c>
      <c r="I17" s="42">
        <v>66</v>
      </c>
      <c r="J17" s="143">
        <f t="shared" si="8"/>
        <v>0</v>
      </c>
      <c r="K17" s="42">
        <f t="shared" si="9"/>
        <v>0</v>
      </c>
      <c r="L17" s="57" t="s">
        <v>222</v>
      </c>
      <c r="M17" s="112"/>
      <c r="R17" s="34"/>
    </row>
    <row r="18" spans="1:18" s="120" customFormat="1" ht="30" customHeight="1">
      <c r="A18" s="766" t="s">
        <v>213</v>
      </c>
      <c r="B18" s="766"/>
      <c r="C18" s="154"/>
      <c r="D18" s="155"/>
      <c r="E18" s="156"/>
      <c r="F18" s="157"/>
      <c r="G18" s="158">
        <f>SUM(G14:G17)</f>
        <v>0</v>
      </c>
      <c r="H18" s="156">
        <f>SUM(H14:H17)</f>
        <v>0</v>
      </c>
      <c r="I18" s="159"/>
      <c r="J18" s="160">
        <f>SUM(J14:J17)</f>
        <v>0</v>
      </c>
      <c r="K18" s="767" t="s">
        <v>225</v>
      </c>
      <c r="L18" s="767"/>
      <c r="M18" s="112"/>
      <c r="R18" s="34"/>
    </row>
    <row r="19" spans="1:18" s="120" customFormat="1" ht="33" customHeight="1">
      <c r="A19" s="765" t="s">
        <v>61</v>
      </c>
      <c r="B19" s="765"/>
      <c r="C19" s="765"/>
      <c r="D19" s="765"/>
      <c r="E19" s="765"/>
      <c r="F19" s="765"/>
      <c r="G19" s="765"/>
      <c r="H19" s="765"/>
      <c r="I19" s="765"/>
      <c r="J19" s="765"/>
      <c r="K19" s="765"/>
      <c r="L19" s="765"/>
    </row>
    <row r="20" spans="1:18" s="120" customFormat="1" ht="48.75" customHeight="1">
      <c r="A20" s="149" t="s">
        <v>1</v>
      </c>
      <c r="B20" s="147" t="s">
        <v>78</v>
      </c>
      <c r="C20" s="147" t="s">
        <v>3</v>
      </c>
      <c r="D20" s="147" t="s">
        <v>4</v>
      </c>
      <c r="E20" s="147" t="s">
        <v>5</v>
      </c>
      <c r="F20" s="147" t="s">
        <v>6</v>
      </c>
      <c r="G20" s="147" t="s">
        <v>59</v>
      </c>
      <c r="H20" s="147" t="s">
        <v>60</v>
      </c>
      <c r="I20" s="147" t="s">
        <v>9</v>
      </c>
      <c r="J20" s="147" t="s">
        <v>79</v>
      </c>
      <c r="K20" s="148" t="s">
        <v>86</v>
      </c>
      <c r="L20" s="148" t="s">
        <v>12</v>
      </c>
    </row>
    <row r="21" spans="1:18" s="120" customFormat="1" ht="23.25" customHeight="1">
      <c r="A21" s="37">
        <v>1</v>
      </c>
      <c r="B21" s="140" t="s">
        <v>201</v>
      </c>
      <c r="C21" s="7" t="s">
        <v>14</v>
      </c>
      <c r="D21" s="144">
        <f>D6*1666/100*40</f>
        <v>0</v>
      </c>
      <c r="E21" s="162">
        <v>13</v>
      </c>
      <c r="F21" s="162">
        <f>400/E21</f>
        <v>30.76923076923077</v>
      </c>
      <c r="G21" s="162">
        <f>D21*1/E21</f>
        <v>0</v>
      </c>
      <c r="H21" s="142">
        <f>G21*F21*E21</f>
        <v>0</v>
      </c>
      <c r="I21" s="42">
        <v>66</v>
      </c>
      <c r="J21" s="143">
        <f>G21/I21</f>
        <v>0</v>
      </c>
      <c r="K21" s="42">
        <f>J21*E21</f>
        <v>0</v>
      </c>
      <c r="L21" s="57" t="s">
        <v>223</v>
      </c>
      <c r="M21" s="112"/>
      <c r="R21" s="34"/>
    </row>
    <row r="22" spans="1:18" s="120" customFormat="1" ht="23.25" customHeight="1">
      <c r="A22" s="37">
        <v>2</v>
      </c>
      <c r="B22" s="140" t="s">
        <v>202</v>
      </c>
      <c r="C22" s="7" t="s">
        <v>14</v>
      </c>
      <c r="D22" s="144">
        <f>D6/100*10*1000/100*40</f>
        <v>0</v>
      </c>
      <c r="E22" s="162">
        <v>13</v>
      </c>
      <c r="F22" s="162">
        <f t="shared" ref="F22:F24" si="10">400/E22</f>
        <v>30.76923076923077</v>
      </c>
      <c r="G22" s="162">
        <f t="shared" ref="G22:G24" si="11">D22*1/E22</f>
        <v>0</v>
      </c>
      <c r="H22" s="142">
        <f t="shared" ref="H22:H24" si="12">G22*F22*E22</f>
        <v>0</v>
      </c>
      <c r="I22" s="42">
        <v>66</v>
      </c>
      <c r="J22" s="143">
        <f t="shared" ref="J22:J24" si="13">G22/I22</f>
        <v>0</v>
      </c>
      <c r="K22" s="42">
        <f t="shared" ref="K22:K24" si="14">J22*E22</f>
        <v>0</v>
      </c>
      <c r="L22" s="57" t="s">
        <v>223</v>
      </c>
      <c r="M22" s="112"/>
      <c r="R22" s="34"/>
    </row>
    <row r="23" spans="1:18" s="120" customFormat="1" ht="23.25" customHeight="1">
      <c r="A23" s="37">
        <v>3</v>
      </c>
      <c r="B23" s="140" t="s">
        <v>203</v>
      </c>
      <c r="C23" s="7" t="s">
        <v>227</v>
      </c>
      <c r="D23" s="144">
        <f>D6*2/100*40</f>
        <v>0</v>
      </c>
      <c r="E23" s="162">
        <v>0.5</v>
      </c>
      <c r="F23" s="162">
        <f t="shared" si="10"/>
        <v>800</v>
      </c>
      <c r="G23" s="162">
        <f t="shared" si="11"/>
        <v>0</v>
      </c>
      <c r="H23" s="142">
        <f t="shared" si="12"/>
        <v>0</v>
      </c>
      <c r="I23" s="42">
        <v>66</v>
      </c>
      <c r="J23" s="143">
        <f t="shared" si="13"/>
        <v>0</v>
      </c>
      <c r="K23" s="42">
        <f t="shared" si="14"/>
        <v>0</v>
      </c>
      <c r="L23" s="57" t="s">
        <v>223</v>
      </c>
      <c r="M23" s="112"/>
      <c r="R23" s="34"/>
    </row>
    <row r="24" spans="1:18" s="120" customFormat="1" ht="23.25" customHeight="1">
      <c r="A24" s="37">
        <v>4</v>
      </c>
      <c r="B24" s="140" t="s">
        <v>204</v>
      </c>
      <c r="C24" s="7" t="s">
        <v>229</v>
      </c>
      <c r="D24" s="144">
        <f>D6*800/100*40</f>
        <v>0</v>
      </c>
      <c r="E24" s="162">
        <v>13</v>
      </c>
      <c r="F24" s="162">
        <f t="shared" si="10"/>
        <v>30.76923076923077</v>
      </c>
      <c r="G24" s="162">
        <f t="shared" si="11"/>
        <v>0</v>
      </c>
      <c r="H24" s="142">
        <f t="shared" si="12"/>
        <v>0</v>
      </c>
      <c r="I24" s="42">
        <v>66</v>
      </c>
      <c r="J24" s="143">
        <f t="shared" si="13"/>
        <v>0</v>
      </c>
      <c r="K24" s="42">
        <f t="shared" si="14"/>
        <v>0</v>
      </c>
      <c r="L24" s="57" t="s">
        <v>223</v>
      </c>
      <c r="M24" s="112"/>
      <c r="R24" s="34"/>
    </row>
    <row r="25" spans="1:18" s="120" customFormat="1" ht="33" customHeight="1">
      <c r="A25" s="766" t="s">
        <v>214</v>
      </c>
      <c r="B25" s="766"/>
      <c r="C25" s="154"/>
      <c r="D25" s="155"/>
      <c r="E25" s="156"/>
      <c r="F25" s="157"/>
      <c r="G25" s="158">
        <f>SUM(G21:G24)</f>
        <v>0</v>
      </c>
      <c r="H25" s="156">
        <f>SUM(H21:H24)</f>
        <v>0</v>
      </c>
      <c r="I25" s="159"/>
      <c r="J25" s="160">
        <f>SUM(J21:J24)</f>
        <v>0</v>
      </c>
      <c r="K25" s="767" t="s">
        <v>226</v>
      </c>
      <c r="L25" s="767"/>
      <c r="M25" s="112"/>
      <c r="R25" s="34"/>
    </row>
    <row r="26" spans="1:18" s="120" customFormat="1" ht="32.25" customHeight="1">
      <c r="A26" s="765" t="s">
        <v>207</v>
      </c>
      <c r="B26" s="765"/>
      <c r="C26" s="765"/>
      <c r="D26" s="765"/>
      <c r="E26" s="765"/>
      <c r="F26" s="765"/>
      <c r="G26" s="765"/>
      <c r="H26" s="765"/>
      <c r="I26" s="765"/>
      <c r="J26" s="765"/>
      <c r="K26" s="765"/>
      <c r="L26" s="765"/>
      <c r="M26" s="43"/>
      <c r="N26" s="43"/>
    </row>
    <row r="27" spans="1:18" s="120" customFormat="1" ht="45" customHeight="1">
      <c r="A27" s="149" t="s">
        <v>1</v>
      </c>
      <c r="B27" s="147" t="s">
        <v>78</v>
      </c>
      <c r="C27" s="147" t="s">
        <v>3</v>
      </c>
      <c r="D27" s="147" t="s">
        <v>4</v>
      </c>
      <c r="E27" s="147" t="s">
        <v>5</v>
      </c>
      <c r="F27" s="147" t="s">
        <v>6</v>
      </c>
      <c r="G27" s="147" t="s">
        <v>59</v>
      </c>
      <c r="H27" s="147" t="s">
        <v>60</v>
      </c>
      <c r="I27" s="147" t="s">
        <v>9</v>
      </c>
      <c r="J27" s="147" t="s">
        <v>79</v>
      </c>
      <c r="K27" s="148" t="s">
        <v>86</v>
      </c>
      <c r="L27" s="148" t="s">
        <v>12</v>
      </c>
    </row>
    <row r="28" spans="1:18" s="120" customFormat="1" ht="23.25" customHeight="1">
      <c r="A28" s="37">
        <v>1</v>
      </c>
      <c r="B28" s="140" t="s">
        <v>205</v>
      </c>
      <c r="C28" s="7" t="s">
        <v>28</v>
      </c>
      <c r="D28" s="166">
        <f>D6*800</f>
        <v>0</v>
      </c>
      <c r="E28" s="162">
        <v>50</v>
      </c>
      <c r="F28" s="162">
        <f>400/E28</f>
        <v>8</v>
      </c>
      <c r="G28" s="162">
        <f>D28*1/E28</f>
        <v>0</v>
      </c>
      <c r="H28" s="162">
        <f>G28*F28*E28</f>
        <v>0</v>
      </c>
      <c r="I28" s="162">
        <v>22</v>
      </c>
      <c r="J28" s="162">
        <f>G28/I28</f>
        <v>0</v>
      </c>
      <c r="K28" s="162">
        <f>J28*E28</f>
        <v>0</v>
      </c>
      <c r="L28" s="57" t="s">
        <v>224</v>
      </c>
      <c r="M28" s="112"/>
      <c r="R28" s="34"/>
    </row>
    <row r="29" spans="1:18" s="120" customFormat="1" ht="23.25" customHeight="1">
      <c r="A29" s="37">
        <v>2</v>
      </c>
      <c r="B29" s="140" t="s">
        <v>206</v>
      </c>
      <c r="C29" s="7" t="s">
        <v>219</v>
      </c>
      <c r="D29" s="166">
        <f>D6</f>
        <v>0</v>
      </c>
      <c r="E29" s="162">
        <v>10</v>
      </c>
      <c r="F29" s="162">
        <f t="shared" ref="F29:F31" si="15">400/E29</f>
        <v>40</v>
      </c>
      <c r="G29" s="162">
        <f t="shared" ref="G29:G31" si="16">D29*1/E29</f>
        <v>0</v>
      </c>
      <c r="H29" s="162">
        <f t="shared" ref="H29:H31" si="17">G29*F29*E29</f>
        <v>0</v>
      </c>
      <c r="I29" s="162">
        <v>22</v>
      </c>
      <c r="J29" s="162">
        <f t="shared" ref="J29:J31" si="18">G29/I29</f>
        <v>0</v>
      </c>
      <c r="K29" s="162">
        <f t="shared" ref="K29:K31" si="19">J29*E29</f>
        <v>0</v>
      </c>
      <c r="L29" s="57" t="s">
        <v>224</v>
      </c>
      <c r="M29" s="112"/>
      <c r="R29" s="34"/>
    </row>
    <row r="30" spans="1:18" s="120" customFormat="1" ht="23.25" customHeight="1">
      <c r="A30" s="37">
        <v>3</v>
      </c>
      <c r="B30" s="140" t="s">
        <v>216</v>
      </c>
      <c r="C30" s="7" t="s">
        <v>219</v>
      </c>
      <c r="D30" s="166">
        <f>D6/100*10</f>
        <v>0</v>
      </c>
      <c r="E30" s="162">
        <v>1</v>
      </c>
      <c r="F30" s="162">
        <f t="shared" si="15"/>
        <v>400</v>
      </c>
      <c r="G30" s="162">
        <f t="shared" si="16"/>
        <v>0</v>
      </c>
      <c r="H30" s="162">
        <f t="shared" si="17"/>
        <v>0</v>
      </c>
      <c r="I30" s="162">
        <v>22</v>
      </c>
      <c r="J30" s="162">
        <f t="shared" si="18"/>
        <v>0</v>
      </c>
      <c r="K30" s="162">
        <f t="shared" si="19"/>
        <v>0</v>
      </c>
      <c r="L30" s="57" t="s">
        <v>224</v>
      </c>
      <c r="M30" s="112"/>
      <c r="R30" s="34"/>
    </row>
    <row r="31" spans="1:18" s="120" customFormat="1" ht="23.25" customHeight="1">
      <c r="A31" s="37">
        <v>4</v>
      </c>
      <c r="B31" s="140" t="s">
        <v>230</v>
      </c>
      <c r="C31" s="7"/>
      <c r="D31" s="166">
        <f>D28</f>
        <v>0</v>
      </c>
      <c r="E31" s="162">
        <v>250</v>
      </c>
      <c r="F31" s="162">
        <f t="shared" si="15"/>
        <v>1.6</v>
      </c>
      <c r="G31" s="162">
        <f t="shared" si="16"/>
        <v>0</v>
      </c>
      <c r="H31" s="162">
        <f t="shared" si="17"/>
        <v>0</v>
      </c>
      <c r="I31" s="162">
        <v>22</v>
      </c>
      <c r="J31" s="162">
        <f t="shared" si="18"/>
        <v>0</v>
      </c>
      <c r="K31" s="162">
        <f t="shared" si="19"/>
        <v>0</v>
      </c>
      <c r="L31" s="57"/>
      <c r="M31" s="112"/>
      <c r="R31" s="34"/>
    </row>
    <row r="32" spans="1:18" s="120" customFormat="1" ht="35.25" customHeight="1">
      <c r="A32" s="766" t="s">
        <v>208</v>
      </c>
      <c r="B32" s="766"/>
      <c r="C32" s="161"/>
      <c r="D32" s="161"/>
      <c r="E32" s="161"/>
      <c r="F32" s="163"/>
      <c r="G32" s="163">
        <f>SUM(G28:G30)</f>
        <v>0</v>
      </c>
      <c r="H32" s="163">
        <f>SUM(H28:H31)</f>
        <v>0</v>
      </c>
      <c r="I32" s="164"/>
      <c r="J32" s="165">
        <f>SUM(J28:J31)</f>
        <v>0</v>
      </c>
      <c r="K32" s="766" t="s">
        <v>231</v>
      </c>
      <c r="L32" s="766"/>
      <c r="M32" s="112"/>
      <c r="R32" s="34"/>
    </row>
    <row r="33" spans="1:12" ht="28.5" customHeight="1">
      <c r="A33" s="726" t="s">
        <v>233</v>
      </c>
      <c r="B33" s="726"/>
      <c r="C33" s="69"/>
      <c r="D33" s="70"/>
      <c r="E33" s="70"/>
      <c r="F33" s="70"/>
      <c r="G33" s="71"/>
      <c r="H33" s="71">
        <f>H11+H18+H25+H32</f>
        <v>0</v>
      </c>
      <c r="I33" s="71"/>
      <c r="J33" s="71"/>
      <c r="K33" s="183"/>
      <c r="L33" s="184"/>
    </row>
    <row r="34" spans="1:12" ht="24" customHeight="1">
      <c r="A34" s="727" t="s">
        <v>234</v>
      </c>
      <c r="B34" s="727"/>
      <c r="C34" s="178"/>
      <c r="D34" s="179"/>
      <c r="E34" s="179"/>
      <c r="F34" s="179"/>
      <c r="G34" s="180"/>
      <c r="H34" s="180">
        <f>H33/68</f>
        <v>0</v>
      </c>
      <c r="I34" s="180"/>
      <c r="J34" s="180"/>
      <c r="K34" s="181"/>
      <c r="L34" s="182"/>
    </row>
    <row r="35" spans="1:12" s="244" customFormat="1" ht="27.75" customHeight="1">
      <c r="A35" s="764" t="s">
        <v>218</v>
      </c>
      <c r="B35" s="764"/>
      <c r="D35" s="68" t="s">
        <v>44</v>
      </c>
      <c r="E35" s="68" t="s">
        <v>217</v>
      </c>
      <c r="F35" s="176"/>
      <c r="G35" s="176"/>
      <c r="J35" s="68"/>
      <c r="L35" s="177"/>
    </row>
    <row r="36" spans="1:12" s="244" customFormat="1" ht="27.75" customHeight="1">
      <c r="A36" s="176" t="s">
        <v>236</v>
      </c>
      <c r="B36" s="247"/>
      <c r="C36" s="248"/>
      <c r="D36" s="68"/>
      <c r="F36" s="243" t="s">
        <v>238</v>
      </c>
      <c r="G36" s="176"/>
      <c r="J36" s="243"/>
      <c r="L36" s="177"/>
    </row>
    <row r="37" spans="1:12" s="244" customFormat="1" ht="27.75" customHeight="1">
      <c r="A37" s="248"/>
      <c r="B37" s="249"/>
      <c r="D37" s="133"/>
      <c r="F37" s="132"/>
      <c r="G37" s="248" t="s">
        <v>198</v>
      </c>
      <c r="J37" s="248"/>
      <c r="K37" s="250"/>
      <c r="L37" s="68"/>
    </row>
    <row r="38" spans="1:12" s="244" customFormat="1" ht="27.75" customHeight="1">
      <c r="A38" s="248"/>
      <c r="B38" s="249"/>
      <c r="D38" s="133"/>
      <c r="F38" s="132"/>
      <c r="G38" s="132"/>
      <c r="H38" s="244" t="s">
        <v>199</v>
      </c>
      <c r="K38" s="250"/>
      <c r="L38" s="68"/>
    </row>
    <row r="39" spans="1:12" s="244" customFormat="1" ht="27.75" customHeight="1">
      <c r="A39" s="248" t="s">
        <v>89</v>
      </c>
      <c r="B39" s="249"/>
      <c r="C39" s="243" t="s">
        <v>200</v>
      </c>
      <c r="G39" s="251" t="s">
        <v>48</v>
      </c>
      <c r="K39" s="68" t="s">
        <v>49</v>
      </c>
      <c r="L39" s="251"/>
    </row>
    <row r="40" spans="1:12" s="244" customFormat="1" ht="27.75" customHeight="1">
      <c r="B40" s="252"/>
      <c r="C40" s="244" t="s">
        <v>52</v>
      </c>
      <c r="G40" s="244" t="s">
        <v>53</v>
      </c>
      <c r="K40" s="137" t="s">
        <v>54</v>
      </c>
      <c r="L40" s="253" t="s">
        <v>81</v>
      </c>
    </row>
  </sheetData>
  <mergeCells count="18">
    <mergeCell ref="A35:B35"/>
    <mergeCell ref="K32:L32"/>
    <mergeCell ref="A32:B32"/>
    <mergeCell ref="A34:B34"/>
    <mergeCell ref="A33:B33"/>
    <mergeCell ref="A1:L1"/>
    <mergeCell ref="A2:L2"/>
    <mergeCell ref="A3:L3"/>
    <mergeCell ref="A12:L12"/>
    <mergeCell ref="A26:L26"/>
    <mergeCell ref="A4:L4"/>
    <mergeCell ref="A11:C11"/>
    <mergeCell ref="K11:L11"/>
    <mergeCell ref="A19:L19"/>
    <mergeCell ref="K18:L18"/>
    <mergeCell ref="K25:L25"/>
    <mergeCell ref="A18:B18"/>
    <mergeCell ref="A25:B25"/>
  </mergeCells>
  <printOptions horizontalCentered="1"/>
  <pageMargins left="0.35" right="0.36" top="0.32" bottom="0.28999999999999998" header="0.17" footer="0.18"/>
  <pageSetup paperSize="9" scale="4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  <pageSetUpPr fitToPage="1"/>
  </sheetPr>
  <dimension ref="A1:M36"/>
  <sheetViews>
    <sheetView rightToLeft="1" view="pageBreakPreview" topLeftCell="A19" zoomScale="77" zoomScaleSheetLayoutView="77" workbookViewId="0">
      <selection activeCell="M12" sqref="L11:M12"/>
    </sheetView>
  </sheetViews>
  <sheetFormatPr defaultRowHeight="24" customHeight="1"/>
  <cols>
    <col min="2" max="2" width="9.125" customWidth="1"/>
    <col min="3" max="3" width="37.875" customWidth="1"/>
    <col min="4" max="4" width="14.125" customWidth="1"/>
    <col min="5" max="5" width="13" customWidth="1"/>
    <col min="6" max="6" width="13.25" customWidth="1"/>
    <col min="7" max="7" width="14" customWidth="1"/>
    <col min="8" max="8" width="15.125" customWidth="1"/>
    <col min="9" max="9" width="17.375" customWidth="1"/>
    <col min="10" max="11" width="14.125" customWidth="1"/>
    <col min="12" max="12" width="16.875" customWidth="1"/>
    <col min="13" max="13" width="27.875" customWidth="1"/>
  </cols>
  <sheetData>
    <row r="1" spans="1:13" ht="54" customHeight="1">
      <c r="A1" s="795" t="s">
        <v>55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  <c r="L1" s="795"/>
      <c r="M1" s="795"/>
    </row>
    <row r="2" spans="1:13" ht="24" customHeight="1">
      <c r="A2" s="796" t="s">
        <v>0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</row>
    <row r="3" spans="1:13" ht="24" customHeight="1">
      <c r="A3" s="792" t="s">
        <v>94</v>
      </c>
      <c r="B3" s="792"/>
      <c r="C3" s="792"/>
      <c r="D3" s="792"/>
      <c r="E3" s="792"/>
      <c r="F3" s="792"/>
      <c r="G3" s="792"/>
      <c r="H3" s="792"/>
      <c r="I3" s="792"/>
      <c r="J3" s="792"/>
      <c r="K3" s="792"/>
      <c r="L3" s="792"/>
      <c r="M3" s="792"/>
    </row>
    <row r="4" spans="1:13" ht="41.25" customHeight="1">
      <c r="A4" s="1" t="s">
        <v>1</v>
      </c>
      <c r="B4" s="793" t="s">
        <v>2</v>
      </c>
      <c r="C4" s="793"/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3" t="s">
        <v>12</v>
      </c>
    </row>
    <row r="5" spans="1:13" ht="24" customHeight="1">
      <c r="A5" s="4">
        <v>1</v>
      </c>
      <c r="B5" s="791" t="s">
        <v>96</v>
      </c>
      <c r="C5" s="791"/>
      <c r="D5" s="5" t="s">
        <v>14</v>
      </c>
      <c r="E5" s="5">
        <f>E6*1.5</f>
        <v>99960</v>
      </c>
      <c r="F5" s="5">
        <v>10</v>
      </c>
      <c r="G5" s="5">
        <f t="shared" ref="G5:G11" si="0">400/F5</f>
        <v>40</v>
      </c>
      <c r="H5" s="5">
        <f t="shared" ref="H5:H11" si="1">E5/F5</f>
        <v>9996</v>
      </c>
      <c r="I5" s="5">
        <f>H5*G5*F5</f>
        <v>3998400</v>
      </c>
      <c r="J5" s="5">
        <v>66</v>
      </c>
      <c r="K5" s="5">
        <f>H5/J5</f>
        <v>151.45454545454547</v>
      </c>
      <c r="L5" s="5">
        <f>K5*F5</f>
        <v>1514.5454545454547</v>
      </c>
      <c r="M5" s="6" t="s">
        <v>15</v>
      </c>
    </row>
    <row r="6" spans="1:13" ht="24" customHeight="1">
      <c r="A6" s="4">
        <v>2</v>
      </c>
      <c r="B6" s="791" t="s">
        <v>97</v>
      </c>
      <c r="C6" s="791"/>
      <c r="D6" s="5" t="s">
        <v>17</v>
      </c>
      <c r="E6" s="5">
        <f>1666*40</f>
        <v>66640</v>
      </c>
      <c r="F6" s="5">
        <v>10</v>
      </c>
      <c r="G6" s="5">
        <f t="shared" si="0"/>
        <v>40</v>
      </c>
      <c r="H6" s="5">
        <f t="shared" si="1"/>
        <v>6664</v>
      </c>
      <c r="I6" s="5">
        <f>H6*G6*F6</f>
        <v>2665600</v>
      </c>
      <c r="J6" s="5">
        <v>66</v>
      </c>
      <c r="K6" s="5">
        <f>H6/J6</f>
        <v>100.96969696969697</v>
      </c>
      <c r="L6" s="5">
        <f>K6*F6</f>
        <v>1009.6969696969697</v>
      </c>
      <c r="M6" s="6" t="s">
        <v>15</v>
      </c>
    </row>
    <row r="7" spans="1:13" ht="33" customHeight="1">
      <c r="A7" s="4">
        <v>3</v>
      </c>
      <c r="B7" s="781" t="s">
        <v>90</v>
      </c>
      <c r="C7" s="781"/>
      <c r="D7" s="7" t="s">
        <v>14</v>
      </c>
      <c r="E7" s="5">
        <f>(20*216*10)</f>
        <v>43200</v>
      </c>
      <c r="F7" s="5">
        <v>10</v>
      </c>
      <c r="G7" s="5">
        <f t="shared" si="0"/>
        <v>40</v>
      </c>
      <c r="H7" s="5">
        <f t="shared" si="1"/>
        <v>4320</v>
      </c>
      <c r="I7" s="5">
        <f>H7*G7*F7</f>
        <v>1728000</v>
      </c>
      <c r="J7" s="5">
        <v>66</v>
      </c>
      <c r="K7" s="5">
        <f>H7/J7</f>
        <v>65.454545454545453</v>
      </c>
      <c r="L7" s="5">
        <f>K7*F7</f>
        <v>654.5454545454545</v>
      </c>
      <c r="M7" s="6" t="s">
        <v>15</v>
      </c>
    </row>
    <row r="8" spans="1:13" ht="24" customHeight="1">
      <c r="A8" s="4">
        <v>4</v>
      </c>
      <c r="B8" s="781" t="s">
        <v>91</v>
      </c>
      <c r="C8" s="781"/>
      <c r="D8" s="5" t="s">
        <v>17</v>
      </c>
      <c r="E8" s="5">
        <f>(20*216*3)</f>
        <v>12960</v>
      </c>
      <c r="F8" s="5">
        <v>10</v>
      </c>
      <c r="G8" s="5">
        <f t="shared" si="0"/>
        <v>40</v>
      </c>
      <c r="H8" s="5">
        <f t="shared" si="1"/>
        <v>1296</v>
      </c>
      <c r="I8" s="5">
        <f>H8*G8*F8</f>
        <v>518400</v>
      </c>
      <c r="J8" s="5">
        <v>66</v>
      </c>
      <c r="K8" s="5">
        <f>H8/J8</f>
        <v>19.636363636363637</v>
      </c>
      <c r="L8" s="5">
        <f>K8*F8</f>
        <v>196.36363636363637</v>
      </c>
      <c r="M8" s="6" t="s">
        <v>15</v>
      </c>
    </row>
    <row r="9" spans="1:13" ht="24" customHeight="1">
      <c r="A9" s="4">
        <v>5</v>
      </c>
      <c r="B9" s="797" t="s">
        <v>21</v>
      </c>
      <c r="C9" s="797"/>
      <c r="D9" s="9" t="s">
        <v>22</v>
      </c>
      <c r="E9" s="10">
        <v>500</v>
      </c>
      <c r="F9" s="10">
        <v>1</v>
      </c>
      <c r="G9" s="10">
        <f t="shared" si="0"/>
        <v>400</v>
      </c>
      <c r="H9" s="10">
        <f t="shared" si="1"/>
        <v>500</v>
      </c>
      <c r="I9" s="10">
        <f>H9*G9*F9</f>
        <v>200000</v>
      </c>
      <c r="J9" s="5">
        <v>66</v>
      </c>
      <c r="K9" s="5">
        <f>H9/J9</f>
        <v>7.5757575757575761</v>
      </c>
      <c r="L9" s="5">
        <f>K9*F9</f>
        <v>7.5757575757575761</v>
      </c>
      <c r="M9" s="6" t="s">
        <v>15</v>
      </c>
    </row>
    <row r="10" spans="1:13" ht="24" customHeight="1">
      <c r="A10" s="4">
        <v>6</v>
      </c>
      <c r="B10" s="798" t="s">
        <v>23</v>
      </c>
      <c r="C10" s="799"/>
      <c r="D10" s="5" t="s">
        <v>24</v>
      </c>
      <c r="E10" s="5">
        <v>4000</v>
      </c>
      <c r="F10" s="5">
        <v>50</v>
      </c>
      <c r="G10" s="5">
        <f t="shared" si="0"/>
        <v>8</v>
      </c>
      <c r="H10" s="5">
        <f t="shared" si="1"/>
        <v>80</v>
      </c>
      <c r="I10" s="5">
        <f>(H10*G10*F10)</f>
        <v>32000</v>
      </c>
      <c r="J10" s="5">
        <v>66</v>
      </c>
      <c r="K10" s="5">
        <f>(H10/J10)</f>
        <v>1.2121212121212122</v>
      </c>
      <c r="L10" s="5">
        <f>(K10*F10)</f>
        <v>60.606060606060609</v>
      </c>
      <c r="M10" s="6" t="s">
        <v>15</v>
      </c>
    </row>
    <row r="11" spans="1:13" ht="24" customHeight="1">
      <c r="A11" s="4">
        <v>7</v>
      </c>
      <c r="B11" s="798" t="s">
        <v>25</v>
      </c>
      <c r="C11" s="799"/>
      <c r="D11" s="5" t="s">
        <v>26</v>
      </c>
      <c r="E11" s="5">
        <v>200000</v>
      </c>
      <c r="F11" s="5">
        <v>200</v>
      </c>
      <c r="G11" s="5">
        <f t="shared" si="0"/>
        <v>2</v>
      </c>
      <c r="H11" s="5">
        <f t="shared" si="1"/>
        <v>1000</v>
      </c>
      <c r="I11" s="5">
        <f>(H11*G11*F11)</f>
        <v>400000</v>
      </c>
      <c r="J11" s="5">
        <v>66</v>
      </c>
      <c r="K11" s="5">
        <f>(H11/J11)</f>
        <v>15.151515151515152</v>
      </c>
      <c r="L11" s="5">
        <f>(K11*F11)</f>
        <v>3030.3030303030305</v>
      </c>
      <c r="M11" s="6" t="s">
        <v>15</v>
      </c>
    </row>
    <row r="12" spans="1:13" ht="24" customHeight="1">
      <c r="A12" s="758" t="s">
        <v>103</v>
      </c>
      <c r="B12" s="758"/>
      <c r="C12" s="758"/>
      <c r="D12" s="11"/>
      <c r="E12" s="12"/>
      <c r="F12" s="12">
        <v>0</v>
      </c>
      <c r="G12" s="12">
        <v>0</v>
      </c>
      <c r="H12" s="24">
        <f>SUM(H5:H11)</f>
        <v>23856</v>
      </c>
      <c r="I12" s="24">
        <f>SUM(I5:I11)</f>
        <v>9542400</v>
      </c>
      <c r="J12" s="13">
        <f>1739600-I12</f>
        <v>-7802800</v>
      </c>
      <c r="K12" s="24">
        <f>SUM(K5:K11)</f>
        <v>361.45454545454538</v>
      </c>
      <c r="L12" s="14"/>
      <c r="M12" s="14"/>
    </row>
    <row r="13" spans="1:13" ht="31.5" customHeight="1">
      <c r="A13" s="792" t="s">
        <v>95</v>
      </c>
      <c r="B13" s="792"/>
      <c r="C13" s="792"/>
      <c r="D13" s="792"/>
      <c r="E13" s="792"/>
      <c r="F13" s="792"/>
      <c r="G13" s="792"/>
      <c r="H13" s="792"/>
      <c r="I13" s="792"/>
      <c r="J13" s="792"/>
      <c r="K13" s="792"/>
      <c r="L13" s="792"/>
      <c r="M13" s="792"/>
    </row>
    <row r="14" spans="1:13" ht="39" customHeight="1">
      <c r="A14" s="1" t="s">
        <v>1</v>
      </c>
      <c r="B14" s="793" t="s">
        <v>2</v>
      </c>
      <c r="C14" s="793"/>
      <c r="D14" s="2" t="s">
        <v>3</v>
      </c>
      <c r="E14" s="33" t="s">
        <v>4</v>
      </c>
      <c r="F14" s="2" t="s">
        <v>5</v>
      </c>
      <c r="G14" s="2" t="s">
        <v>6</v>
      </c>
      <c r="H14" s="2" t="s">
        <v>7</v>
      </c>
      <c r="I14" s="2" t="s">
        <v>8</v>
      </c>
      <c r="J14" s="2" t="s">
        <v>9</v>
      </c>
      <c r="K14" s="2" t="s">
        <v>10</v>
      </c>
      <c r="L14" s="2" t="s">
        <v>11</v>
      </c>
      <c r="M14" s="3" t="s">
        <v>12</v>
      </c>
    </row>
    <row r="15" spans="1:13" ht="24" customHeight="1">
      <c r="A15" s="4">
        <v>1</v>
      </c>
      <c r="B15" s="791" t="s">
        <v>96</v>
      </c>
      <c r="C15" s="791"/>
      <c r="D15" s="5" t="s">
        <v>14</v>
      </c>
      <c r="E15" s="5">
        <f>E16*1.5</f>
        <v>99960</v>
      </c>
      <c r="F15" s="5">
        <v>10</v>
      </c>
      <c r="G15" s="5">
        <f>400/F15</f>
        <v>40</v>
      </c>
      <c r="H15" s="5">
        <f>E15/F15</f>
        <v>9996</v>
      </c>
      <c r="I15" s="5">
        <f>H15*G15*F15</f>
        <v>3998400</v>
      </c>
      <c r="J15" s="5">
        <v>66</v>
      </c>
      <c r="K15" s="5">
        <f>H15/J15</f>
        <v>151.45454545454547</v>
      </c>
      <c r="L15" s="5">
        <f>K15*F15</f>
        <v>1514.5454545454547</v>
      </c>
      <c r="M15" s="15" t="s">
        <v>29</v>
      </c>
    </row>
    <row r="16" spans="1:13" ht="24" customHeight="1">
      <c r="A16" s="4">
        <v>2</v>
      </c>
      <c r="B16" s="791" t="s">
        <v>97</v>
      </c>
      <c r="C16" s="791"/>
      <c r="D16" s="5" t="s">
        <v>17</v>
      </c>
      <c r="E16" s="5">
        <f>1666*40</f>
        <v>66640</v>
      </c>
      <c r="F16" s="5">
        <v>10</v>
      </c>
      <c r="G16" s="5">
        <f>400/F16</f>
        <v>40</v>
      </c>
      <c r="H16" s="5">
        <f>E16/F16</f>
        <v>6664</v>
      </c>
      <c r="I16" s="5">
        <f>H16*G16*F16</f>
        <v>2665600</v>
      </c>
      <c r="J16" s="5">
        <v>66</v>
      </c>
      <c r="K16" s="5">
        <f>H16/J16</f>
        <v>100.96969696969697</v>
      </c>
      <c r="L16" s="5">
        <f>K16*F16</f>
        <v>1009.6969696969697</v>
      </c>
      <c r="M16" s="15" t="s">
        <v>29</v>
      </c>
    </row>
    <row r="17" spans="1:13" ht="30.75" customHeight="1">
      <c r="A17" s="4">
        <v>3</v>
      </c>
      <c r="B17" s="781" t="s">
        <v>90</v>
      </c>
      <c r="C17" s="781"/>
      <c r="D17" s="7" t="s">
        <v>14</v>
      </c>
      <c r="E17" s="5">
        <f>(20*216*10)</f>
        <v>43200</v>
      </c>
      <c r="F17" s="5">
        <v>10</v>
      </c>
      <c r="G17" s="5">
        <f>400/F17</f>
        <v>40</v>
      </c>
      <c r="H17" s="5">
        <f>E17/F17</f>
        <v>4320</v>
      </c>
      <c r="I17" s="5">
        <f>H17*G17*F17</f>
        <v>1728000</v>
      </c>
      <c r="J17" s="5">
        <v>66</v>
      </c>
      <c r="K17" s="5">
        <f>H17/J17</f>
        <v>65.454545454545453</v>
      </c>
      <c r="L17" s="5">
        <f>K17*F17</f>
        <v>654.5454545454545</v>
      </c>
      <c r="M17" s="15" t="s">
        <v>29</v>
      </c>
    </row>
    <row r="18" spans="1:13" ht="24" customHeight="1">
      <c r="A18" s="4">
        <v>4</v>
      </c>
      <c r="B18" s="781" t="s">
        <v>91</v>
      </c>
      <c r="C18" s="781"/>
      <c r="D18" s="5" t="s">
        <v>17</v>
      </c>
      <c r="E18" s="5">
        <f>(20*216*3)</f>
        <v>12960</v>
      </c>
      <c r="F18" s="5">
        <v>10</v>
      </c>
      <c r="G18" s="5">
        <f>400/F18</f>
        <v>40</v>
      </c>
      <c r="H18" s="5">
        <f>E18/F18</f>
        <v>1296</v>
      </c>
      <c r="I18" s="5">
        <f>H18*G18*F18</f>
        <v>518400</v>
      </c>
      <c r="J18" s="5">
        <v>66</v>
      </c>
      <c r="K18" s="5">
        <f>H18/J18</f>
        <v>19.636363636363637</v>
      </c>
      <c r="L18" s="5">
        <f>K18*F18</f>
        <v>196.36363636363637</v>
      </c>
      <c r="M18" s="15" t="s">
        <v>29</v>
      </c>
    </row>
    <row r="19" spans="1:13" ht="24" customHeight="1">
      <c r="A19" s="758" t="s">
        <v>83</v>
      </c>
      <c r="B19" s="758"/>
      <c r="C19" s="758"/>
      <c r="D19" s="11"/>
      <c r="E19" s="12"/>
      <c r="F19" s="12">
        <v>0</v>
      </c>
      <c r="G19" s="12">
        <v>0</v>
      </c>
      <c r="H19" s="24">
        <f>SUM(H15:H18)</f>
        <v>22276</v>
      </c>
      <c r="I19" s="24">
        <f>SUM(I15:I18)</f>
        <v>8910400</v>
      </c>
      <c r="J19" s="13">
        <f>1739600-I19</f>
        <v>-7170800</v>
      </c>
      <c r="K19" s="24">
        <f>SUM(K15:K18)</f>
        <v>337.5151515151515</v>
      </c>
      <c r="L19" s="14"/>
      <c r="M19" s="14"/>
    </row>
    <row r="20" spans="1:13" ht="24" customHeight="1">
      <c r="A20" s="792" t="s">
        <v>98</v>
      </c>
      <c r="B20" s="792"/>
      <c r="C20" s="792"/>
      <c r="D20" s="792"/>
      <c r="E20" s="792"/>
      <c r="F20" s="792"/>
      <c r="G20" s="792"/>
      <c r="H20" s="792"/>
      <c r="I20" s="792"/>
      <c r="J20" s="792"/>
      <c r="K20" s="792"/>
      <c r="L20" s="792"/>
      <c r="M20" s="792"/>
    </row>
    <row r="21" spans="1:13" ht="37.5" customHeight="1">
      <c r="A21" s="16" t="s">
        <v>1</v>
      </c>
      <c r="B21" s="793" t="s">
        <v>30</v>
      </c>
      <c r="C21" s="793"/>
      <c r="D21" s="2" t="s">
        <v>3</v>
      </c>
      <c r="E21" s="2" t="s">
        <v>31</v>
      </c>
      <c r="F21" s="2" t="s">
        <v>5</v>
      </c>
      <c r="G21" s="2" t="s">
        <v>6</v>
      </c>
      <c r="H21" s="2" t="s">
        <v>32</v>
      </c>
      <c r="I21" s="2" t="s">
        <v>8</v>
      </c>
      <c r="J21" s="2" t="s">
        <v>33</v>
      </c>
      <c r="K21" s="2" t="s">
        <v>34</v>
      </c>
      <c r="L21" s="2" t="s">
        <v>35</v>
      </c>
      <c r="M21" s="3" t="s">
        <v>12</v>
      </c>
    </row>
    <row r="22" spans="1:13" ht="26.25" customHeight="1">
      <c r="A22" s="60">
        <v>1</v>
      </c>
      <c r="B22" s="791" t="s">
        <v>145</v>
      </c>
      <c r="C22" s="791"/>
      <c r="D22" s="53" t="s">
        <v>14</v>
      </c>
      <c r="E22" s="53">
        <f>1666*30*1.5</f>
        <v>74970</v>
      </c>
      <c r="F22" s="53">
        <v>10</v>
      </c>
      <c r="G22" s="53">
        <f t="shared" ref="G22:G27" si="2">400/F22</f>
        <v>40</v>
      </c>
      <c r="H22" s="53">
        <f>E22/F22</f>
        <v>7497</v>
      </c>
      <c r="I22" s="53">
        <f>H22*G22*F22</f>
        <v>2998800</v>
      </c>
      <c r="J22" s="53">
        <v>44</v>
      </c>
      <c r="K22" s="53">
        <f t="shared" ref="K22:K27" si="3">H22/J22</f>
        <v>170.38636363636363</v>
      </c>
      <c r="L22" s="53">
        <f>K22*F22</f>
        <v>1703.8636363636363</v>
      </c>
      <c r="M22" s="52" t="s">
        <v>29</v>
      </c>
    </row>
    <row r="23" spans="1:13" ht="23.25" customHeight="1">
      <c r="A23" s="60">
        <v>2</v>
      </c>
      <c r="B23" s="791" t="s">
        <v>134</v>
      </c>
      <c r="C23" s="791"/>
      <c r="D23" s="53" t="s">
        <v>17</v>
      </c>
      <c r="E23" s="53">
        <f>30*1666</f>
        <v>49980</v>
      </c>
      <c r="F23" s="53">
        <v>10</v>
      </c>
      <c r="G23" s="53">
        <f t="shared" si="2"/>
        <v>40</v>
      </c>
      <c r="H23" s="53">
        <f>E23/F23</f>
        <v>4998</v>
      </c>
      <c r="I23" s="53">
        <f>H23*G23*F23</f>
        <v>1999200</v>
      </c>
      <c r="J23" s="53">
        <v>44</v>
      </c>
      <c r="K23" s="53">
        <f t="shared" si="3"/>
        <v>113.59090909090909</v>
      </c>
      <c r="L23" s="53">
        <f>K23*F23</f>
        <v>1135.909090909091</v>
      </c>
      <c r="M23" s="52"/>
    </row>
    <row r="24" spans="1:13" ht="33" customHeight="1">
      <c r="A24" s="60">
        <v>3</v>
      </c>
      <c r="B24" s="781" t="s">
        <v>99</v>
      </c>
      <c r="C24" s="781"/>
      <c r="D24" s="7" t="s">
        <v>14</v>
      </c>
      <c r="E24" s="53">
        <f>(15*216*10)</f>
        <v>32400</v>
      </c>
      <c r="F24" s="53">
        <v>10</v>
      </c>
      <c r="G24" s="53">
        <f t="shared" si="2"/>
        <v>40</v>
      </c>
      <c r="H24" s="53">
        <f>E24/F24</f>
        <v>3240</v>
      </c>
      <c r="I24" s="53">
        <f>H24*G24*F24</f>
        <v>1296000</v>
      </c>
      <c r="J24" s="53">
        <v>44</v>
      </c>
      <c r="K24" s="53">
        <f t="shared" si="3"/>
        <v>73.63636363636364</v>
      </c>
      <c r="L24" s="53">
        <f>K24*F24</f>
        <v>736.36363636363637</v>
      </c>
      <c r="M24" s="52" t="s">
        <v>29</v>
      </c>
    </row>
    <row r="25" spans="1:13" ht="24" customHeight="1">
      <c r="A25" s="60">
        <v>4</v>
      </c>
      <c r="B25" s="790" t="s">
        <v>39</v>
      </c>
      <c r="C25" s="790"/>
      <c r="D25" s="21" t="s">
        <v>40</v>
      </c>
      <c r="E25" s="19">
        <v>10</v>
      </c>
      <c r="F25" s="19">
        <v>20</v>
      </c>
      <c r="G25" s="19">
        <f t="shared" si="2"/>
        <v>20</v>
      </c>
      <c r="H25" s="19">
        <f>E25*22</f>
        <v>220</v>
      </c>
      <c r="I25" s="19">
        <f>H25*G25*F25</f>
        <v>88000</v>
      </c>
      <c r="J25" s="19">
        <v>44</v>
      </c>
      <c r="K25" s="5">
        <f t="shared" si="3"/>
        <v>5</v>
      </c>
      <c r="L25" s="20">
        <f>F25*K25</f>
        <v>100</v>
      </c>
      <c r="M25" s="15" t="s">
        <v>38</v>
      </c>
    </row>
    <row r="26" spans="1:13" ht="32.25" customHeight="1">
      <c r="A26" s="60">
        <v>5</v>
      </c>
      <c r="B26" s="791" t="s">
        <v>100</v>
      </c>
      <c r="C26" s="791"/>
      <c r="D26" s="17" t="s">
        <v>37</v>
      </c>
      <c r="E26" s="17">
        <f>E18+E16+E8+E6</f>
        <v>159200</v>
      </c>
      <c r="F26" s="17">
        <v>40</v>
      </c>
      <c r="G26" s="17">
        <f t="shared" si="2"/>
        <v>10</v>
      </c>
      <c r="H26" s="18">
        <f>E26/F26</f>
        <v>3980</v>
      </c>
      <c r="I26" s="19">
        <f>H26*G26*F26</f>
        <v>1592000</v>
      </c>
      <c r="J26" s="19">
        <v>44</v>
      </c>
      <c r="K26" s="5">
        <f t="shared" si="3"/>
        <v>90.454545454545453</v>
      </c>
      <c r="L26" s="20">
        <f>F26*K26</f>
        <v>3618.181818181818</v>
      </c>
      <c r="M26" s="15" t="s">
        <v>38</v>
      </c>
    </row>
    <row r="27" spans="1:13" ht="24" customHeight="1">
      <c r="A27" s="60">
        <v>6</v>
      </c>
      <c r="B27" s="791" t="s">
        <v>101</v>
      </c>
      <c r="C27" s="791"/>
      <c r="D27" s="17" t="s">
        <v>37</v>
      </c>
      <c r="E27" s="17">
        <f>E18+E16+E8+E6</f>
        <v>159200</v>
      </c>
      <c r="F27" s="17">
        <v>120</v>
      </c>
      <c r="G27" s="17">
        <f t="shared" si="2"/>
        <v>3.3333333333333335</v>
      </c>
      <c r="H27" s="18">
        <f>E27/F27</f>
        <v>1326.6666666666667</v>
      </c>
      <c r="I27" s="19">
        <f>H27*G27*F27*6</f>
        <v>3184000.0000000005</v>
      </c>
      <c r="J27" s="19">
        <v>44</v>
      </c>
      <c r="K27" s="5">
        <f t="shared" si="3"/>
        <v>30.151515151515152</v>
      </c>
      <c r="L27" s="20">
        <f>F27*K27</f>
        <v>3618.1818181818185</v>
      </c>
      <c r="M27" s="15" t="s">
        <v>38</v>
      </c>
    </row>
    <row r="28" spans="1:13" ht="23.25" customHeight="1">
      <c r="A28" s="60">
        <v>7</v>
      </c>
      <c r="B28" s="800" t="s">
        <v>84</v>
      </c>
      <c r="C28" s="800"/>
      <c r="D28" s="54" t="s">
        <v>85</v>
      </c>
      <c r="E28" s="58">
        <f>E27*15</f>
        <v>2388000</v>
      </c>
      <c r="F28" s="55"/>
      <c r="G28" s="56">
        <v>0.3</v>
      </c>
      <c r="H28" s="55"/>
      <c r="I28" s="58">
        <f>G28*E28</f>
        <v>716400</v>
      </c>
      <c r="J28" s="53">
        <v>66</v>
      </c>
      <c r="K28" s="53"/>
      <c r="L28" s="20"/>
      <c r="M28" s="52" t="s">
        <v>38</v>
      </c>
    </row>
    <row r="29" spans="1:13" ht="24" customHeight="1">
      <c r="A29" s="60">
        <v>8</v>
      </c>
      <c r="B29" s="791" t="s">
        <v>116</v>
      </c>
      <c r="C29" s="791"/>
      <c r="D29" s="17" t="s">
        <v>41</v>
      </c>
      <c r="E29" s="22">
        <v>30</v>
      </c>
      <c r="F29" s="23">
        <v>0.5</v>
      </c>
      <c r="G29" s="17">
        <f>400/F29</f>
        <v>800</v>
      </c>
      <c r="H29" s="18">
        <f>E29/F29</f>
        <v>60</v>
      </c>
      <c r="I29" s="19">
        <f>H29*G29*F29</f>
        <v>24000</v>
      </c>
      <c r="J29" s="19">
        <v>44</v>
      </c>
      <c r="K29" s="5">
        <f>H29/J29</f>
        <v>1.3636363636363635</v>
      </c>
      <c r="L29" s="20">
        <f>F29*K29</f>
        <v>0.68181818181818177</v>
      </c>
      <c r="M29" s="15" t="s">
        <v>38</v>
      </c>
    </row>
    <row r="30" spans="1:13" ht="28.5" customHeight="1">
      <c r="A30" s="60">
        <v>9</v>
      </c>
      <c r="B30" s="781" t="s">
        <v>115</v>
      </c>
      <c r="C30" s="781"/>
      <c r="D30" s="17" t="s">
        <v>41</v>
      </c>
      <c r="E30" s="17">
        <v>15</v>
      </c>
      <c r="F30" s="23">
        <v>0.5</v>
      </c>
      <c r="G30" s="17">
        <f>400/F30</f>
        <v>800</v>
      </c>
      <c r="H30" s="18">
        <f>E30/F30</f>
        <v>30</v>
      </c>
      <c r="I30" s="17">
        <f>H30*G30*F30</f>
        <v>12000</v>
      </c>
      <c r="J30" s="19">
        <v>44</v>
      </c>
      <c r="K30" s="5">
        <f>H30/J30</f>
        <v>0.68181818181818177</v>
      </c>
      <c r="L30" s="20">
        <f>F30*K30</f>
        <v>0.34090909090909088</v>
      </c>
      <c r="M30" s="15" t="s">
        <v>38</v>
      </c>
    </row>
    <row r="31" spans="1:13" ht="24" customHeight="1">
      <c r="A31" s="762" t="s">
        <v>80</v>
      </c>
      <c r="B31" s="762"/>
      <c r="C31" s="762"/>
      <c r="D31" s="12"/>
      <c r="E31" s="12">
        <v>0</v>
      </c>
      <c r="F31" s="12">
        <v>0</v>
      </c>
      <c r="G31" s="12">
        <v>0</v>
      </c>
      <c r="H31" s="25">
        <f>SUM(H22:H30)</f>
        <v>21351.666666666668</v>
      </c>
      <c r="I31" s="25">
        <f>SUM(I22:I30)</f>
        <v>11910400</v>
      </c>
      <c r="J31" s="48"/>
      <c r="K31" s="25">
        <f>SUM(K22:K30)</f>
        <v>485.2651515151515</v>
      </c>
      <c r="L31" s="26"/>
      <c r="M31" s="26" t="s">
        <v>38</v>
      </c>
    </row>
    <row r="32" spans="1:13" ht="24" customHeight="1">
      <c r="A32" s="782" t="s">
        <v>102</v>
      </c>
      <c r="B32" s="782"/>
      <c r="C32" s="782"/>
      <c r="D32" s="27"/>
      <c r="E32" s="27"/>
      <c r="F32" s="27"/>
      <c r="G32" s="27"/>
      <c r="H32" s="28">
        <f>SUM(H12+H19+H31)</f>
        <v>67483.666666666672</v>
      </c>
      <c r="I32" s="28">
        <f>SUM(I12+I19+I31)</f>
        <v>30363200</v>
      </c>
      <c r="J32" s="28"/>
      <c r="K32" s="28">
        <f>SUM(K12+K19+K31)</f>
        <v>1184.2348484848485</v>
      </c>
      <c r="L32" s="28"/>
      <c r="M32" s="27"/>
    </row>
    <row r="33" spans="1:13" s="40" customFormat="1" ht="42" customHeight="1" thickBot="1">
      <c r="A33" s="783" t="s">
        <v>43</v>
      </c>
      <c r="B33" s="783"/>
      <c r="C33" s="66" t="s">
        <v>152</v>
      </c>
      <c r="D33" s="784" t="s">
        <v>150</v>
      </c>
      <c r="E33" s="784"/>
      <c r="F33" s="784"/>
      <c r="G33" s="779" t="s">
        <v>151</v>
      </c>
      <c r="H33" s="780"/>
      <c r="I33" s="780"/>
      <c r="J33" s="68"/>
      <c r="K33" s="68" t="s">
        <v>44</v>
      </c>
      <c r="L33" s="794" t="s">
        <v>87</v>
      </c>
      <c r="M33" s="794"/>
    </row>
    <row r="34" spans="1:13" s="40" customFormat="1" ht="39" customHeight="1" thickTop="1">
      <c r="A34" s="788" t="s">
        <v>89</v>
      </c>
      <c r="B34" s="788"/>
      <c r="C34" s="788"/>
      <c r="D34" s="65"/>
      <c r="E34" s="65"/>
      <c r="F34" s="65"/>
      <c r="G34" s="67"/>
      <c r="H34" s="67"/>
      <c r="I34" s="64"/>
      <c r="J34" s="64"/>
      <c r="K34" s="64"/>
      <c r="L34" s="38"/>
      <c r="M34" s="39"/>
    </row>
    <row r="35" spans="1:13" s="40" customFormat="1" ht="33" customHeight="1">
      <c r="A35" s="788" t="s">
        <v>45</v>
      </c>
      <c r="B35" s="788"/>
      <c r="C35" s="788"/>
      <c r="D35" s="789" t="s">
        <v>46</v>
      </c>
      <c r="E35" s="789"/>
      <c r="F35" s="786" t="s">
        <v>47</v>
      </c>
      <c r="G35" s="786"/>
      <c r="H35" s="786" t="s">
        <v>48</v>
      </c>
      <c r="I35" s="786"/>
      <c r="J35" s="774" t="s">
        <v>49</v>
      </c>
      <c r="K35" s="774"/>
      <c r="L35" s="38"/>
      <c r="M35" s="39"/>
    </row>
    <row r="36" spans="1:13" s="40" customFormat="1" ht="18.75" customHeight="1">
      <c r="A36" s="787" t="s">
        <v>50</v>
      </c>
      <c r="B36" s="787"/>
      <c r="C36" s="787"/>
      <c r="D36" s="785" t="s">
        <v>51</v>
      </c>
      <c r="E36" s="785"/>
      <c r="F36" s="785" t="s">
        <v>52</v>
      </c>
      <c r="G36" s="785"/>
      <c r="H36" s="785" t="s">
        <v>53</v>
      </c>
      <c r="I36" s="785"/>
      <c r="J36" s="785" t="s">
        <v>54</v>
      </c>
      <c r="K36" s="785"/>
      <c r="L36" s="785" t="s">
        <v>81</v>
      </c>
      <c r="M36" s="785"/>
    </row>
  </sheetData>
  <mergeCells count="48">
    <mergeCell ref="L33:M33"/>
    <mergeCell ref="B23:C23"/>
    <mergeCell ref="B5:C5"/>
    <mergeCell ref="A1:M1"/>
    <mergeCell ref="A2:M2"/>
    <mergeCell ref="A3:M3"/>
    <mergeCell ref="B4:C4"/>
    <mergeCell ref="B6:C6"/>
    <mergeCell ref="B7:C7"/>
    <mergeCell ref="B8:C8"/>
    <mergeCell ref="B9:C9"/>
    <mergeCell ref="B10:C10"/>
    <mergeCell ref="B28:C28"/>
    <mergeCell ref="B26:C26"/>
    <mergeCell ref="B11:C11"/>
    <mergeCell ref="A12:C12"/>
    <mergeCell ref="A13:M13"/>
    <mergeCell ref="B14:C14"/>
    <mergeCell ref="B15:C15"/>
    <mergeCell ref="B16:C16"/>
    <mergeCell ref="B17:C17"/>
    <mergeCell ref="B18:C18"/>
    <mergeCell ref="A19:C19"/>
    <mergeCell ref="A20:M20"/>
    <mergeCell ref="B21:C21"/>
    <mergeCell ref="B22:C22"/>
    <mergeCell ref="B24:C24"/>
    <mergeCell ref="L36:M36"/>
    <mergeCell ref="H35:I35"/>
    <mergeCell ref="J35:K35"/>
    <mergeCell ref="A36:C36"/>
    <mergeCell ref="D36:E36"/>
    <mergeCell ref="F36:G36"/>
    <mergeCell ref="H36:I36"/>
    <mergeCell ref="J36:K36"/>
    <mergeCell ref="A34:C34"/>
    <mergeCell ref="A35:C35"/>
    <mergeCell ref="D35:E35"/>
    <mergeCell ref="F35:G35"/>
    <mergeCell ref="B25:C25"/>
    <mergeCell ref="B27:C27"/>
    <mergeCell ref="B29:C29"/>
    <mergeCell ref="G33:I33"/>
    <mergeCell ref="B30:C30"/>
    <mergeCell ref="A31:C31"/>
    <mergeCell ref="A32:C32"/>
    <mergeCell ref="A33:B33"/>
    <mergeCell ref="D33:F33"/>
  </mergeCells>
  <pageMargins left="0.7" right="0.7" top="0.75" bottom="0.75" header="0.3" footer="0.3"/>
  <pageSetup paperSize="9" scale="49" fitToWidth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  <pageSetUpPr fitToPage="1"/>
  </sheetPr>
  <dimension ref="A1:M37"/>
  <sheetViews>
    <sheetView rightToLeft="1" view="pageBreakPreview" zoomScale="70" zoomScaleSheetLayoutView="70" workbookViewId="0">
      <selection activeCell="A27" sqref="A27"/>
    </sheetView>
  </sheetViews>
  <sheetFormatPr defaultRowHeight="15"/>
  <cols>
    <col min="2" max="2" width="9.125" customWidth="1"/>
    <col min="3" max="3" width="37.875" customWidth="1"/>
    <col min="4" max="4" width="14.125" customWidth="1"/>
    <col min="5" max="5" width="13" customWidth="1"/>
    <col min="6" max="6" width="13.25" customWidth="1"/>
    <col min="7" max="7" width="14" customWidth="1"/>
    <col min="8" max="8" width="15.125" customWidth="1"/>
    <col min="9" max="9" width="17.375" customWidth="1"/>
    <col min="10" max="11" width="14.125" customWidth="1"/>
    <col min="12" max="12" width="16.875" customWidth="1"/>
    <col min="13" max="13" width="27.875" customWidth="1"/>
  </cols>
  <sheetData>
    <row r="1" spans="1:13" ht="54.75" customHeight="1">
      <c r="A1" s="795" t="s">
        <v>104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  <c r="L1" s="795"/>
      <c r="M1" s="795"/>
    </row>
    <row r="2" spans="1:13" ht="18.75">
      <c r="A2" s="796" t="s">
        <v>0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</row>
    <row r="3" spans="1:13" ht="20.25">
      <c r="A3" s="792" t="s">
        <v>105</v>
      </c>
      <c r="B3" s="792"/>
      <c r="C3" s="792"/>
      <c r="D3" s="792"/>
      <c r="E3" s="792"/>
      <c r="F3" s="792"/>
      <c r="G3" s="792"/>
      <c r="H3" s="792"/>
      <c r="I3" s="792"/>
      <c r="J3" s="792"/>
      <c r="K3" s="792"/>
      <c r="L3" s="792"/>
      <c r="M3" s="792"/>
    </row>
    <row r="4" spans="1:13" ht="39" customHeight="1">
      <c r="A4" s="1" t="s">
        <v>1</v>
      </c>
      <c r="B4" s="793" t="s">
        <v>2</v>
      </c>
      <c r="C4" s="793"/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3" t="s">
        <v>12</v>
      </c>
    </row>
    <row r="5" spans="1:13" ht="26.25" customHeight="1">
      <c r="A5" s="4">
        <v>1</v>
      </c>
      <c r="B5" s="791" t="s">
        <v>108</v>
      </c>
      <c r="C5" s="791"/>
      <c r="D5" s="5" t="s">
        <v>14</v>
      </c>
      <c r="E5" s="5">
        <f>E6*1.5</f>
        <v>124950</v>
      </c>
      <c r="F5" s="5">
        <v>10</v>
      </c>
      <c r="G5" s="5">
        <f t="shared" ref="G5:G12" si="0">400/F5</f>
        <v>40</v>
      </c>
      <c r="H5" s="5">
        <f t="shared" ref="H5:H12" si="1">E5/F5</f>
        <v>12495</v>
      </c>
      <c r="I5" s="5">
        <f t="shared" ref="I5:I10" si="2">H5*G5*F5</f>
        <v>4998000</v>
      </c>
      <c r="J5" s="5">
        <v>66</v>
      </c>
      <c r="K5" s="5">
        <f t="shared" ref="K5:K10" si="3">H5/J5</f>
        <v>189.31818181818181</v>
      </c>
      <c r="L5" s="5">
        <f t="shared" ref="L5:L10" si="4">K5*F5</f>
        <v>1893.181818181818</v>
      </c>
      <c r="M5" s="6" t="s">
        <v>15</v>
      </c>
    </row>
    <row r="6" spans="1:13" ht="26.25" customHeight="1">
      <c r="A6" s="4">
        <v>2</v>
      </c>
      <c r="B6" s="791" t="s">
        <v>16</v>
      </c>
      <c r="C6" s="791"/>
      <c r="D6" s="5" t="s">
        <v>17</v>
      </c>
      <c r="E6" s="5">
        <f>1666*50</f>
        <v>83300</v>
      </c>
      <c r="F6" s="5">
        <v>10</v>
      </c>
      <c r="G6" s="5">
        <f t="shared" si="0"/>
        <v>40</v>
      </c>
      <c r="H6" s="5">
        <f t="shared" si="1"/>
        <v>8330</v>
      </c>
      <c r="I6" s="5">
        <f t="shared" si="2"/>
        <v>3332000</v>
      </c>
      <c r="J6" s="5">
        <v>66</v>
      </c>
      <c r="K6" s="5">
        <f t="shared" si="3"/>
        <v>126.21212121212122</v>
      </c>
      <c r="L6" s="5">
        <f t="shared" si="4"/>
        <v>1262.1212121212122</v>
      </c>
      <c r="M6" s="6" t="s">
        <v>15</v>
      </c>
    </row>
    <row r="7" spans="1:13" ht="33" customHeight="1">
      <c r="A7" s="4">
        <v>3</v>
      </c>
      <c r="B7" s="781" t="s">
        <v>107</v>
      </c>
      <c r="C7" s="781"/>
      <c r="D7" s="7" t="s">
        <v>14</v>
      </c>
      <c r="E7" s="5">
        <f>(25*216*10)</f>
        <v>54000</v>
      </c>
      <c r="F7" s="5">
        <v>10</v>
      </c>
      <c r="G7" s="5">
        <f t="shared" si="0"/>
        <v>40</v>
      </c>
      <c r="H7" s="5">
        <f t="shared" si="1"/>
        <v>5400</v>
      </c>
      <c r="I7" s="5">
        <f t="shared" si="2"/>
        <v>2160000</v>
      </c>
      <c r="J7" s="5">
        <v>66</v>
      </c>
      <c r="K7" s="5">
        <f t="shared" si="3"/>
        <v>81.818181818181813</v>
      </c>
      <c r="L7" s="5">
        <f t="shared" si="4"/>
        <v>818.18181818181813</v>
      </c>
      <c r="M7" s="6" t="s">
        <v>15</v>
      </c>
    </row>
    <row r="8" spans="1:13" ht="33.75" customHeight="1">
      <c r="A8" s="4">
        <v>4</v>
      </c>
      <c r="B8" s="781" t="s">
        <v>19</v>
      </c>
      <c r="C8" s="781"/>
      <c r="D8" s="5" t="s">
        <v>17</v>
      </c>
      <c r="E8" s="5">
        <f>(25*216*3)</f>
        <v>16200</v>
      </c>
      <c r="F8" s="5">
        <v>10</v>
      </c>
      <c r="G8" s="5">
        <f t="shared" si="0"/>
        <v>40</v>
      </c>
      <c r="H8" s="5">
        <f t="shared" si="1"/>
        <v>1620</v>
      </c>
      <c r="I8" s="5">
        <f t="shared" si="2"/>
        <v>648000</v>
      </c>
      <c r="J8" s="5">
        <v>66</v>
      </c>
      <c r="K8" s="5">
        <f t="shared" si="3"/>
        <v>24.545454545454547</v>
      </c>
      <c r="L8" s="5">
        <f t="shared" si="4"/>
        <v>245.45454545454547</v>
      </c>
      <c r="M8" s="6" t="s">
        <v>15</v>
      </c>
    </row>
    <row r="9" spans="1:13" ht="26.25" customHeight="1">
      <c r="A9" s="4">
        <v>5</v>
      </c>
      <c r="B9" s="808" t="s">
        <v>109</v>
      </c>
      <c r="C9" s="809"/>
      <c r="D9" s="8" t="s">
        <v>20</v>
      </c>
      <c r="E9" s="5">
        <f>3*3*1000</f>
        <v>9000</v>
      </c>
      <c r="F9" s="5">
        <v>3</v>
      </c>
      <c r="G9" s="5">
        <f t="shared" si="0"/>
        <v>133.33333333333334</v>
      </c>
      <c r="H9" s="5">
        <f t="shared" si="1"/>
        <v>3000</v>
      </c>
      <c r="I9" s="5">
        <f t="shared" si="2"/>
        <v>1200000</v>
      </c>
      <c r="J9" s="5">
        <v>66</v>
      </c>
      <c r="K9" s="5">
        <f t="shared" si="3"/>
        <v>45.454545454545453</v>
      </c>
      <c r="L9" s="5">
        <f t="shared" si="4"/>
        <v>136.36363636363637</v>
      </c>
      <c r="M9" s="6" t="s">
        <v>15</v>
      </c>
    </row>
    <row r="10" spans="1:13" ht="26.25" customHeight="1">
      <c r="A10" s="4">
        <v>6</v>
      </c>
      <c r="B10" s="797" t="s">
        <v>21</v>
      </c>
      <c r="C10" s="797"/>
      <c r="D10" s="9" t="s">
        <v>22</v>
      </c>
      <c r="E10" s="10">
        <v>500</v>
      </c>
      <c r="F10" s="10">
        <v>1</v>
      </c>
      <c r="G10" s="10">
        <f t="shared" si="0"/>
        <v>400</v>
      </c>
      <c r="H10" s="10">
        <f t="shared" si="1"/>
        <v>500</v>
      </c>
      <c r="I10" s="10">
        <f t="shared" si="2"/>
        <v>200000</v>
      </c>
      <c r="J10" s="5">
        <v>66</v>
      </c>
      <c r="K10" s="5">
        <f t="shared" si="3"/>
        <v>7.5757575757575761</v>
      </c>
      <c r="L10" s="5">
        <f t="shared" si="4"/>
        <v>7.5757575757575761</v>
      </c>
      <c r="M10" s="6" t="s">
        <v>15</v>
      </c>
    </row>
    <row r="11" spans="1:13" ht="36" customHeight="1">
      <c r="A11" s="4">
        <v>7</v>
      </c>
      <c r="B11" s="806" t="s">
        <v>23</v>
      </c>
      <c r="C11" s="807"/>
      <c r="D11" s="5" t="s">
        <v>24</v>
      </c>
      <c r="E11" s="5">
        <v>4000</v>
      </c>
      <c r="F11" s="5">
        <v>50</v>
      </c>
      <c r="G11" s="5">
        <f t="shared" si="0"/>
        <v>8</v>
      </c>
      <c r="H11" s="5">
        <f t="shared" si="1"/>
        <v>80</v>
      </c>
      <c r="I11" s="5">
        <f>(H11*G11*F11)</f>
        <v>32000</v>
      </c>
      <c r="J11" s="5">
        <v>66</v>
      </c>
      <c r="K11" s="5">
        <f>(H11/J11)</f>
        <v>1.2121212121212122</v>
      </c>
      <c r="L11" s="5">
        <f>(K11*F11)</f>
        <v>60.606060606060609</v>
      </c>
      <c r="M11" s="6" t="s">
        <v>15</v>
      </c>
    </row>
    <row r="12" spans="1:13" ht="26.25" customHeight="1">
      <c r="A12" s="4">
        <v>8</v>
      </c>
      <c r="B12" s="798" t="s">
        <v>25</v>
      </c>
      <c r="C12" s="799"/>
      <c r="D12" s="5" t="s">
        <v>26</v>
      </c>
      <c r="E12" s="5">
        <v>200000</v>
      </c>
      <c r="F12" s="5">
        <v>200</v>
      </c>
      <c r="G12" s="5">
        <f t="shared" si="0"/>
        <v>2</v>
      </c>
      <c r="H12" s="5">
        <f t="shared" si="1"/>
        <v>1000</v>
      </c>
      <c r="I12" s="5">
        <f>(H12*G12*F12)</f>
        <v>400000</v>
      </c>
      <c r="J12" s="5">
        <v>66</v>
      </c>
      <c r="K12" s="5">
        <f>(H12/J12)</f>
        <v>15.151515151515152</v>
      </c>
      <c r="L12" s="5">
        <f>(K12*F12)</f>
        <v>3030.3030303030305</v>
      </c>
      <c r="M12" s="6" t="s">
        <v>15</v>
      </c>
    </row>
    <row r="13" spans="1:13" ht="18.75">
      <c r="A13" s="758" t="s">
        <v>27</v>
      </c>
      <c r="B13" s="758"/>
      <c r="C13" s="758"/>
      <c r="D13" s="11"/>
      <c r="E13" s="12"/>
      <c r="F13" s="12">
        <v>0</v>
      </c>
      <c r="G13" s="12">
        <v>0</v>
      </c>
      <c r="H13" s="24">
        <f>SUM(H5:H12)</f>
        <v>32425</v>
      </c>
      <c r="I13" s="48">
        <f>SUM(I5:I12)</f>
        <v>12970000</v>
      </c>
      <c r="J13" s="48"/>
      <c r="K13" s="48">
        <f>SUM(K5:K12)</f>
        <v>491.2878787878787</v>
      </c>
      <c r="L13" s="14"/>
      <c r="M13" s="14"/>
    </row>
    <row r="14" spans="1:13" ht="20.25">
      <c r="A14" s="792" t="s">
        <v>110</v>
      </c>
      <c r="B14" s="792"/>
      <c r="C14" s="792"/>
      <c r="D14" s="792"/>
      <c r="E14" s="792"/>
      <c r="F14" s="792"/>
      <c r="G14" s="792"/>
      <c r="H14" s="792"/>
      <c r="I14" s="792"/>
      <c r="J14" s="792"/>
      <c r="K14" s="792"/>
      <c r="L14" s="792"/>
      <c r="M14" s="792"/>
    </row>
    <row r="15" spans="1:13" ht="37.5">
      <c r="A15" s="1" t="s">
        <v>1</v>
      </c>
      <c r="B15" s="793" t="s">
        <v>2</v>
      </c>
      <c r="C15" s="793"/>
      <c r="D15" s="2" t="s">
        <v>3</v>
      </c>
      <c r="E15" s="2" t="s">
        <v>4</v>
      </c>
      <c r="F15" s="2" t="s">
        <v>5</v>
      </c>
      <c r="G15" s="2" t="s">
        <v>6</v>
      </c>
      <c r="H15" s="2" t="s">
        <v>7</v>
      </c>
      <c r="I15" s="2" t="s">
        <v>8</v>
      </c>
      <c r="J15" s="2" t="s">
        <v>9</v>
      </c>
      <c r="K15" s="2" t="s">
        <v>10</v>
      </c>
      <c r="L15" s="2" t="s">
        <v>11</v>
      </c>
      <c r="M15" s="3" t="s">
        <v>12</v>
      </c>
    </row>
    <row r="16" spans="1:13" ht="27.75" customHeight="1">
      <c r="A16" s="4">
        <v>1</v>
      </c>
      <c r="B16" s="791" t="s">
        <v>13</v>
      </c>
      <c r="C16" s="791"/>
      <c r="D16" s="5" t="s">
        <v>14</v>
      </c>
      <c r="E16" s="5">
        <f>E17*1.5</f>
        <v>124950</v>
      </c>
      <c r="F16" s="5">
        <v>10</v>
      </c>
      <c r="G16" s="5">
        <f>400/F16</f>
        <v>40</v>
      </c>
      <c r="H16" s="5">
        <f>E16/F16</f>
        <v>12495</v>
      </c>
      <c r="I16" s="5">
        <f>H16*G16*F16</f>
        <v>4998000</v>
      </c>
      <c r="J16" s="5">
        <v>66</v>
      </c>
      <c r="K16" s="5">
        <f>H16/J16</f>
        <v>189.31818181818181</v>
      </c>
      <c r="L16" s="5">
        <f>K16*F16</f>
        <v>1893.181818181818</v>
      </c>
      <c r="M16" s="15" t="s">
        <v>29</v>
      </c>
    </row>
    <row r="17" spans="1:13" ht="27.75" customHeight="1">
      <c r="A17" s="4">
        <v>2</v>
      </c>
      <c r="B17" s="791" t="s">
        <v>16</v>
      </c>
      <c r="C17" s="791"/>
      <c r="D17" s="5" t="s">
        <v>17</v>
      </c>
      <c r="E17" s="5">
        <f>1666*50</f>
        <v>83300</v>
      </c>
      <c r="F17" s="5">
        <v>10</v>
      </c>
      <c r="G17" s="5">
        <f>400/F17</f>
        <v>40</v>
      </c>
      <c r="H17" s="5">
        <f>E17/F17</f>
        <v>8330</v>
      </c>
      <c r="I17" s="5">
        <f>H17*G17*F17</f>
        <v>3332000</v>
      </c>
      <c r="J17" s="5">
        <v>66</v>
      </c>
      <c r="K17" s="5">
        <f>H17/J17</f>
        <v>126.21212121212122</v>
      </c>
      <c r="L17" s="5">
        <f>K17*F17</f>
        <v>1262.1212121212122</v>
      </c>
      <c r="M17" s="15" t="s">
        <v>29</v>
      </c>
    </row>
    <row r="18" spans="1:13" ht="27.75" customHeight="1">
      <c r="A18" s="4">
        <v>3</v>
      </c>
      <c r="B18" s="781" t="s">
        <v>18</v>
      </c>
      <c r="C18" s="781"/>
      <c r="D18" s="7" t="s">
        <v>14</v>
      </c>
      <c r="E18" s="5">
        <f>(25*216*10)</f>
        <v>54000</v>
      </c>
      <c r="F18" s="5">
        <v>10</v>
      </c>
      <c r="G18" s="5">
        <f>400/F18</f>
        <v>40</v>
      </c>
      <c r="H18" s="5">
        <f>E18/F18</f>
        <v>5400</v>
      </c>
      <c r="I18" s="5">
        <f>H18*G18*F18</f>
        <v>2160000</v>
      </c>
      <c r="J18" s="5">
        <v>66</v>
      </c>
      <c r="K18" s="5">
        <f>H18/J18</f>
        <v>81.818181818181813</v>
      </c>
      <c r="L18" s="5">
        <f>K18*F18</f>
        <v>818.18181818181813</v>
      </c>
      <c r="M18" s="15" t="s">
        <v>29</v>
      </c>
    </row>
    <row r="19" spans="1:13" ht="27.75" customHeight="1">
      <c r="A19" s="4">
        <v>4</v>
      </c>
      <c r="B19" s="781" t="s">
        <v>19</v>
      </c>
      <c r="C19" s="781"/>
      <c r="D19" s="5" t="s">
        <v>17</v>
      </c>
      <c r="E19" s="5">
        <f>(25*216*3)</f>
        <v>16200</v>
      </c>
      <c r="F19" s="5">
        <v>10</v>
      </c>
      <c r="G19" s="5">
        <f>400/F19</f>
        <v>40</v>
      </c>
      <c r="H19" s="5">
        <f>E19/F19</f>
        <v>1620</v>
      </c>
      <c r="I19" s="5">
        <f>H19*G19*F19</f>
        <v>648000</v>
      </c>
      <c r="J19" s="5">
        <v>66</v>
      </c>
      <c r="K19" s="5">
        <f>H19/J19</f>
        <v>24.545454545454547</v>
      </c>
      <c r="L19" s="5">
        <f>K19*F19</f>
        <v>245.45454545454547</v>
      </c>
      <c r="M19" s="15" t="s">
        <v>29</v>
      </c>
    </row>
    <row r="20" spans="1:13" ht="27.75" customHeight="1">
      <c r="A20" s="758" t="s">
        <v>27</v>
      </c>
      <c r="B20" s="758"/>
      <c r="C20" s="758"/>
      <c r="D20" s="11"/>
      <c r="E20" s="12"/>
      <c r="F20" s="12">
        <v>0</v>
      </c>
      <c r="G20" s="12">
        <v>0</v>
      </c>
      <c r="H20" s="24">
        <f>SUM(H16:H19)</f>
        <v>27845</v>
      </c>
      <c r="I20" s="48">
        <f>SUM(I16:I19)</f>
        <v>11138000</v>
      </c>
      <c r="J20" s="48"/>
      <c r="K20" s="48">
        <f>SUM(K16:K19)</f>
        <v>421.89393939393938</v>
      </c>
      <c r="L20" s="14"/>
      <c r="M20" s="14"/>
    </row>
    <row r="21" spans="1:13" ht="27.75" customHeight="1">
      <c r="A21" s="792" t="s">
        <v>111</v>
      </c>
      <c r="B21" s="792"/>
      <c r="C21" s="792"/>
      <c r="D21" s="792"/>
      <c r="E21" s="792"/>
      <c r="F21" s="792"/>
      <c r="G21" s="792"/>
      <c r="H21" s="792"/>
      <c r="I21" s="792"/>
      <c r="J21" s="792"/>
      <c r="K21" s="792"/>
      <c r="L21" s="792"/>
      <c r="M21" s="792"/>
    </row>
    <row r="22" spans="1:13" ht="42" customHeight="1">
      <c r="A22" s="16" t="s">
        <v>1</v>
      </c>
      <c r="B22" s="793" t="s">
        <v>30</v>
      </c>
      <c r="C22" s="793"/>
      <c r="D22" s="2" t="s">
        <v>3</v>
      </c>
      <c r="E22" s="2" t="s">
        <v>31</v>
      </c>
      <c r="F22" s="2" t="s">
        <v>5</v>
      </c>
      <c r="G22" s="2" t="s">
        <v>6</v>
      </c>
      <c r="H22" s="2" t="s">
        <v>32</v>
      </c>
      <c r="I22" s="2" t="s">
        <v>8</v>
      </c>
      <c r="J22" s="2" t="s">
        <v>33</v>
      </c>
      <c r="K22" s="2" t="s">
        <v>34</v>
      </c>
      <c r="L22" s="2" t="s">
        <v>35</v>
      </c>
      <c r="M22" s="3" t="s">
        <v>12</v>
      </c>
    </row>
    <row r="23" spans="1:13" ht="31.5" customHeight="1">
      <c r="A23" s="60">
        <v>1</v>
      </c>
      <c r="B23" s="791" t="s">
        <v>145</v>
      </c>
      <c r="C23" s="791"/>
      <c r="D23" s="53" t="s">
        <v>14</v>
      </c>
      <c r="E23" s="53">
        <f>1666*30*1.5</f>
        <v>74970</v>
      </c>
      <c r="F23" s="53">
        <v>10</v>
      </c>
      <c r="G23" s="53">
        <f t="shared" ref="G23:G28" si="5">400/F23</f>
        <v>40</v>
      </c>
      <c r="H23" s="53">
        <f>E23/F23</f>
        <v>7497</v>
      </c>
      <c r="I23" s="53">
        <f>H23*G23*F23</f>
        <v>2998800</v>
      </c>
      <c r="J23" s="53">
        <v>44</v>
      </c>
      <c r="K23" s="53">
        <f t="shared" ref="K23:K28" si="6">H23/J23</f>
        <v>170.38636363636363</v>
      </c>
      <c r="L23" s="53">
        <f>K23*F23</f>
        <v>1703.8636363636363</v>
      </c>
      <c r="M23" s="52" t="s">
        <v>29</v>
      </c>
    </row>
    <row r="24" spans="1:13" ht="30.75" customHeight="1">
      <c r="A24" s="60">
        <v>2</v>
      </c>
      <c r="B24" s="791" t="s">
        <v>134</v>
      </c>
      <c r="C24" s="791"/>
      <c r="D24" s="53" t="s">
        <v>17</v>
      </c>
      <c r="E24" s="53">
        <f>30*1666</f>
        <v>49980</v>
      </c>
      <c r="F24" s="53">
        <v>10</v>
      </c>
      <c r="G24" s="53">
        <f t="shared" si="5"/>
        <v>40</v>
      </c>
      <c r="H24" s="53">
        <f>E24/F24</f>
        <v>4998</v>
      </c>
      <c r="I24" s="53">
        <f>H24*G24*F24</f>
        <v>1999200</v>
      </c>
      <c r="J24" s="53">
        <v>44</v>
      </c>
      <c r="K24" s="53">
        <f t="shared" si="6"/>
        <v>113.59090909090909</v>
      </c>
      <c r="L24" s="53">
        <f>K24*F24</f>
        <v>1135.909090909091</v>
      </c>
      <c r="M24" s="52" t="s">
        <v>29</v>
      </c>
    </row>
    <row r="25" spans="1:13" ht="33" customHeight="1">
      <c r="A25" s="60">
        <v>3</v>
      </c>
      <c r="B25" s="781" t="s">
        <v>112</v>
      </c>
      <c r="C25" s="781"/>
      <c r="D25" s="7" t="s">
        <v>14</v>
      </c>
      <c r="E25" s="53">
        <f>(20*216*10)</f>
        <v>43200</v>
      </c>
      <c r="F25" s="53">
        <v>10</v>
      </c>
      <c r="G25" s="53">
        <f t="shared" si="5"/>
        <v>40</v>
      </c>
      <c r="H25" s="53">
        <f>E25/F25</f>
        <v>4320</v>
      </c>
      <c r="I25" s="53">
        <f>H25*G25*F25</f>
        <v>1728000</v>
      </c>
      <c r="J25" s="53">
        <v>44</v>
      </c>
      <c r="K25" s="53">
        <f t="shared" si="6"/>
        <v>98.181818181818187</v>
      </c>
      <c r="L25" s="53">
        <f>K25*F25</f>
        <v>981.81818181818187</v>
      </c>
      <c r="M25" s="52" t="s">
        <v>29</v>
      </c>
    </row>
    <row r="26" spans="1:13" ht="31.5" customHeight="1">
      <c r="A26" s="60">
        <v>4</v>
      </c>
      <c r="B26" s="790" t="s">
        <v>39</v>
      </c>
      <c r="C26" s="790"/>
      <c r="D26" s="21" t="s">
        <v>40</v>
      </c>
      <c r="E26" s="19">
        <v>10</v>
      </c>
      <c r="F26" s="19">
        <v>20</v>
      </c>
      <c r="G26" s="19">
        <f t="shared" si="5"/>
        <v>20</v>
      </c>
      <c r="H26" s="19">
        <f>E26*22</f>
        <v>220</v>
      </c>
      <c r="I26" s="19">
        <f>H26*G26*F26</f>
        <v>88000</v>
      </c>
      <c r="J26" s="19">
        <v>44</v>
      </c>
      <c r="K26" s="5">
        <f t="shared" si="6"/>
        <v>5</v>
      </c>
      <c r="L26" s="20">
        <f>F26*K26</f>
        <v>100</v>
      </c>
      <c r="M26" s="15" t="s">
        <v>38</v>
      </c>
    </row>
    <row r="27" spans="1:13" ht="31.5" customHeight="1">
      <c r="A27" s="60">
        <v>5</v>
      </c>
      <c r="B27" s="791" t="s">
        <v>36</v>
      </c>
      <c r="C27" s="791"/>
      <c r="D27" s="17" t="s">
        <v>37</v>
      </c>
      <c r="E27" s="17">
        <f>E19+E17+E8+E6</f>
        <v>199000</v>
      </c>
      <c r="F27" s="17">
        <v>40</v>
      </c>
      <c r="G27" s="17">
        <f t="shared" si="5"/>
        <v>10</v>
      </c>
      <c r="H27" s="18">
        <f>E27/F27</f>
        <v>4975</v>
      </c>
      <c r="I27" s="19">
        <f>H27*G27*F27</f>
        <v>1990000</v>
      </c>
      <c r="J27" s="19">
        <v>44</v>
      </c>
      <c r="K27" s="5">
        <f t="shared" si="6"/>
        <v>113.06818181818181</v>
      </c>
      <c r="L27" s="20">
        <f>F27*K27</f>
        <v>4522.7272727272721</v>
      </c>
      <c r="M27" s="15" t="s">
        <v>38</v>
      </c>
    </row>
    <row r="28" spans="1:13" ht="31.5" customHeight="1">
      <c r="A28" s="60">
        <v>6</v>
      </c>
      <c r="B28" s="791" t="s">
        <v>88</v>
      </c>
      <c r="C28" s="791"/>
      <c r="D28" s="17" t="s">
        <v>37</v>
      </c>
      <c r="E28" s="17">
        <f>E19+E17+E8+E6</f>
        <v>199000</v>
      </c>
      <c r="F28" s="17">
        <v>120</v>
      </c>
      <c r="G28" s="17">
        <f t="shared" si="5"/>
        <v>3.3333333333333335</v>
      </c>
      <c r="H28" s="18">
        <f>E28/F28</f>
        <v>1658.3333333333333</v>
      </c>
      <c r="I28" s="19">
        <f>H28*G28*F28*6</f>
        <v>3979999.9999999995</v>
      </c>
      <c r="J28" s="19">
        <v>44</v>
      </c>
      <c r="K28" s="5">
        <f t="shared" si="6"/>
        <v>37.689393939393938</v>
      </c>
      <c r="L28" s="20">
        <f>F28*K28</f>
        <v>4522.7272727272721</v>
      </c>
      <c r="M28" s="15" t="s">
        <v>38</v>
      </c>
    </row>
    <row r="29" spans="1:13" ht="23.25" customHeight="1">
      <c r="A29" s="60">
        <v>7</v>
      </c>
      <c r="B29" s="800" t="s">
        <v>84</v>
      </c>
      <c r="C29" s="800"/>
      <c r="D29" s="54" t="s">
        <v>85</v>
      </c>
      <c r="E29" s="58">
        <f>E27*15</f>
        <v>2985000</v>
      </c>
      <c r="F29" s="55"/>
      <c r="G29" s="56">
        <v>0.3</v>
      </c>
      <c r="H29" s="55"/>
      <c r="I29" s="58">
        <f>G29*E29</f>
        <v>895500</v>
      </c>
      <c r="J29" s="53">
        <v>66</v>
      </c>
      <c r="K29" s="53"/>
      <c r="L29" s="20"/>
      <c r="M29" s="52" t="s">
        <v>38</v>
      </c>
    </row>
    <row r="30" spans="1:13" ht="31.5" customHeight="1">
      <c r="A30" s="60">
        <v>8</v>
      </c>
      <c r="B30" s="791" t="s">
        <v>113</v>
      </c>
      <c r="C30" s="791"/>
      <c r="D30" s="17" t="s">
        <v>41</v>
      </c>
      <c r="E30" s="22">
        <v>30</v>
      </c>
      <c r="F30" s="23">
        <v>0.5</v>
      </c>
      <c r="G30" s="17">
        <f>400/F30</f>
        <v>800</v>
      </c>
      <c r="H30" s="18">
        <f>E30/F30</f>
        <v>60</v>
      </c>
      <c r="I30" s="19">
        <f>H30*G30*F30</f>
        <v>24000</v>
      </c>
      <c r="J30" s="19">
        <v>44</v>
      </c>
      <c r="K30" s="5">
        <f>H30/J30</f>
        <v>1.3636363636363635</v>
      </c>
      <c r="L30" s="20">
        <f>F30*K30</f>
        <v>0.68181818181818177</v>
      </c>
      <c r="M30" s="15" t="s">
        <v>38</v>
      </c>
    </row>
    <row r="31" spans="1:13" ht="31.5" customHeight="1">
      <c r="A31" s="60">
        <v>9</v>
      </c>
      <c r="B31" s="781" t="s">
        <v>114</v>
      </c>
      <c r="C31" s="781"/>
      <c r="D31" s="17" t="s">
        <v>41</v>
      </c>
      <c r="E31" s="17">
        <v>20</v>
      </c>
      <c r="F31" s="23">
        <v>0.5</v>
      </c>
      <c r="G31" s="17">
        <f>400/F31</f>
        <v>800</v>
      </c>
      <c r="H31" s="18">
        <f>E31/F31</f>
        <v>40</v>
      </c>
      <c r="I31" s="17">
        <f>H31*G31*F31</f>
        <v>16000</v>
      </c>
      <c r="J31" s="19">
        <v>44</v>
      </c>
      <c r="K31" s="5">
        <f>H31/J31</f>
        <v>0.90909090909090906</v>
      </c>
      <c r="L31" s="20">
        <f>F31*K31</f>
        <v>0.45454545454545453</v>
      </c>
      <c r="M31" s="15" t="s">
        <v>38</v>
      </c>
    </row>
    <row r="32" spans="1:13" ht="18.75">
      <c r="A32" s="762" t="s">
        <v>80</v>
      </c>
      <c r="B32" s="762"/>
      <c r="C32" s="762"/>
      <c r="D32" s="12"/>
      <c r="E32" s="12"/>
      <c r="F32" s="12"/>
      <c r="G32" s="12"/>
      <c r="H32" s="25">
        <f>SUM(H23:H31)</f>
        <v>23768.333333333332</v>
      </c>
      <c r="I32" s="25">
        <f>SUM(I23:I31)</f>
        <v>13719500</v>
      </c>
      <c r="J32" s="25"/>
      <c r="K32" s="25">
        <f>SUM(K23:K31)</f>
        <v>540.18939393939399</v>
      </c>
      <c r="L32" s="26"/>
      <c r="M32" s="26"/>
    </row>
    <row r="33" spans="1:13" ht="42.75" customHeight="1">
      <c r="A33" s="803" t="s">
        <v>131</v>
      </c>
      <c r="B33" s="803"/>
      <c r="C33" s="803"/>
      <c r="D33" s="27"/>
      <c r="E33" s="27"/>
      <c r="F33" s="27"/>
      <c r="G33" s="27"/>
      <c r="H33" s="28">
        <f>SUM(H20+H32+H13)</f>
        <v>84038.333333333328</v>
      </c>
      <c r="I33" s="28">
        <f>SUM(I20+I32+I13)</f>
        <v>37827500</v>
      </c>
      <c r="J33" s="28"/>
      <c r="K33" s="28">
        <f>SUM(K20+K32+K13)</f>
        <v>1453.371212121212</v>
      </c>
      <c r="L33" s="28"/>
      <c r="M33" s="27"/>
    </row>
    <row r="34" spans="1:13" s="40" customFormat="1" ht="39" customHeight="1">
      <c r="A34" s="783" t="s">
        <v>43</v>
      </c>
      <c r="B34" s="783"/>
      <c r="C34" s="804" t="s">
        <v>82</v>
      </c>
      <c r="D34" s="804"/>
      <c r="E34" s="804"/>
      <c r="F34" s="804"/>
      <c r="G34" s="805" t="s">
        <v>44</v>
      </c>
      <c r="H34" s="805"/>
      <c r="I34" s="801" t="s">
        <v>87</v>
      </c>
      <c r="J34" s="802"/>
      <c r="K34" s="802"/>
      <c r="L34" s="38"/>
      <c r="M34" s="39"/>
    </row>
    <row r="35" spans="1:13" s="40" customFormat="1" ht="39" customHeight="1">
      <c r="A35" s="788" t="s">
        <v>89</v>
      </c>
      <c r="B35" s="788"/>
      <c r="C35" s="788"/>
      <c r="D35" s="46"/>
      <c r="E35" s="46"/>
      <c r="F35" s="46"/>
      <c r="G35" s="51"/>
      <c r="H35" s="51"/>
      <c r="I35" s="45"/>
      <c r="J35" s="45"/>
      <c r="K35" s="45"/>
      <c r="L35" s="38"/>
      <c r="M35" s="39"/>
    </row>
    <row r="36" spans="1:13" s="40" customFormat="1" ht="41.25" customHeight="1">
      <c r="A36" s="788" t="s">
        <v>45</v>
      </c>
      <c r="B36" s="788"/>
      <c r="C36" s="788"/>
      <c r="D36" s="789" t="s">
        <v>46</v>
      </c>
      <c r="E36" s="789"/>
      <c r="F36" s="786" t="s">
        <v>47</v>
      </c>
      <c r="G36" s="786"/>
      <c r="H36" s="786" t="s">
        <v>48</v>
      </c>
      <c r="I36" s="786"/>
      <c r="J36" s="774" t="s">
        <v>49</v>
      </c>
      <c r="K36" s="774"/>
      <c r="L36" s="38"/>
      <c r="M36" s="39"/>
    </row>
    <row r="37" spans="1:13" s="40" customFormat="1" ht="18.75" customHeight="1">
      <c r="A37" s="787" t="s">
        <v>50</v>
      </c>
      <c r="B37" s="787"/>
      <c r="C37" s="787"/>
      <c r="D37" s="785" t="s">
        <v>51</v>
      </c>
      <c r="E37" s="785"/>
      <c r="F37" s="785" t="s">
        <v>52</v>
      </c>
      <c r="G37" s="785"/>
      <c r="H37" s="785" t="s">
        <v>53</v>
      </c>
      <c r="I37" s="785"/>
      <c r="J37" s="785" t="s">
        <v>54</v>
      </c>
      <c r="K37" s="785"/>
      <c r="L37" s="785" t="s">
        <v>81</v>
      </c>
      <c r="M37" s="785"/>
    </row>
  </sheetData>
  <mergeCells count="49">
    <mergeCell ref="B6:C6"/>
    <mergeCell ref="B7:C7"/>
    <mergeCell ref="B8:C8"/>
    <mergeCell ref="B9:C9"/>
    <mergeCell ref="B10:C10"/>
    <mergeCell ref="A1:M1"/>
    <mergeCell ref="A2:M2"/>
    <mergeCell ref="A3:M3"/>
    <mergeCell ref="B4:C4"/>
    <mergeCell ref="B5:C5"/>
    <mergeCell ref="B12:C12"/>
    <mergeCell ref="A13:C13"/>
    <mergeCell ref="A14:M14"/>
    <mergeCell ref="B15:C15"/>
    <mergeCell ref="B11:C11"/>
    <mergeCell ref="B16:C16"/>
    <mergeCell ref="B22:C22"/>
    <mergeCell ref="B27:C27"/>
    <mergeCell ref="B26:C26"/>
    <mergeCell ref="B28:C28"/>
    <mergeCell ref="B17:C17"/>
    <mergeCell ref="B18:C18"/>
    <mergeCell ref="B19:C19"/>
    <mergeCell ref="A20:C20"/>
    <mergeCell ref="A21:M21"/>
    <mergeCell ref="B31:C31"/>
    <mergeCell ref="B23:C23"/>
    <mergeCell ref="B25:C25"/>
    <mergeCell ref="B29:C29"/>
    <mergeCell ref="B30:C30"/>
    <mergeCell ref="B24:C24"/>
    <mergeCell ref="L37:M37"/>
    <mergeCell ref="D36:E36"/>
    <mergeCell ref="F36:G36"/>
    <mergeCell ref="H36:I36"/>
    <mergeCell ref="J36:K36"/>
    <mergeCell ref="A37:C37"/>
    <mergeCell ref="D37:E37"/>
    <mergeCell ref="F37:G37"/>
    <mergeCell ref="H37:I37"/>
    <mergeCell ref="J37:K37"/>
    <mergeCell ref="I34:K34"/>
    <mergeCell ref="A35:C35"/>
    <mergeCell ref="A36:C36"/>
    <mergeCell ref="A32:C32"/>
    <mergeCell ref="A33:C33"/>
    <mergeCell ref="A34:B34"/>
    <mergeCell ref="C34:F34"/>
    <mergeCell ref="G34:H34"/>
  </mergeCells>
  <pageMargins left="0.7" right="0.7" top="0.75" bottom="0.75" header="0.3" footer="0.3"/>
  <pageSetup paperSize="9" scale="44" fitToWidth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  <pageSetUpPr fitToPage="1"/>
  </sheetPr>
  <dimension ref="A1:M37"/>
  <sheetViews>
    <sheetView rightToLeft="1" view="pageBreakPreview" topLeftCell="A24" zoomScale="70" zoomScaleSheetLayoutView="70" workbookViewId="0">
      <selection activeCell="F25" sqref="F25"/>
    </sheetView>
  </sheetViews>
  <sheetFormatPr defaultRowHeight="15"/>
  <cols>
    <col min="2" max="2" width="9.125" customWidth="1"/>
    <col min="3" max="3" width="37.875" customWidth="1"/>
    <col min="4" max="4" width="14.125" customWidth="1"/>
    <col min="5" max="5" width="13" customWidth="1"/>
    <col min="6" max="6" width="13.25" customWidth="1"/>
    <col min="7" max="7" width="14" customWidth="1"/>
    <col min="8" max="8" width="15.125" customWidth="1"/>
    <col min="9" max="9" width="17.375" customWidth="1"/>
    <col min="10" max="11" width="14.125" customWidth="1"/>
    <col min="12" max="12" width="16.875" customWidth="1"/>
    <col min="13" max="13" width="27.875" customWidth="1"/>
  </cols>
  <sheetData>
    <row r="1" spans="1:13" ht="54.75" customHeight="1">
      <c r="A1" s="795" t="s">
        <v>117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  <c r="L1" s="795"/>
      <c r="M1" s="795"/>
    </row>
    <row r="2" spans="1:13" ht="18.75">
      <c r="A2" s="796" t="s">
        <v>0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</row>
    <row r="3" spans="1:13" ht="20.25">
      <c r="A3" s="792" t="s">
        <v>118</v>
      </c>
      <c r="B3" s="792"/>
      <c r="C3" s="792"/>
      <c r="D3" s="792"/>
      <c r="E3" s="792"/>
      <c r="F3" s="792"/>
      <c r="G3" s="792"/>
      <c r="H3" s="792"/>
      <c r="I3" s="792"/>
      <c r="J3" s="792"/>
      <c r="K3" s="792"/>
      <c r="L3" s="792"/>
      <c r="M3" s="792"/>
    </row>
    <row r="4" spans="1:13" ht="39" customHeight="1">
      <c r="A4" s="1" t="s">
        <v>1</v>
      </c>
      <c r="B4" s="793" t="s">
        <v>2</v>
      </c>
      <c r="C4" s="793"/>
      <c r="D4" s="47" t="s">
        <v>3</v>
      </c>
      <c r="E4" s="47" t="s">
        <v>4</v>
      </c>
      <c r="F4" s="47" t="s">
        <v>5</v>
      </c>
      <c r="G4" s="47" t="s">
        <v>6</v>
      </c>
      <c r="H4" s="47" t="s">
        <v>7</v>
      </c>
      <c r="I4" s="47" t="s">
        <v>8</v>
      </c>
      <c r="J4" s="47" t="s">
        <v>9</v>
      </c>
      <c r="K4" s="47" t="s">
        <v>10</v>
      </c>
      <c r="L4" s="47" t="s">
        <v>11</v>
      </c>
      <c r="M4" s="49" t="s">
        <v>12</v>
      </c>
    </row>
    <row r="5" spans="1:13" ht="26.25" customHeight="1">
      <c r="A5" s="4">
        <v>1</v>
      </c>
      <c r="B5" s="791" t="s">
        <v>108</v>
      </c>
      <c r="C5" s="791"/>
      <c r="D5" s="53" t="s">
        <v>14</v>
      </c>
      <c r="E5" s="53">
        <f>E6*1.5</f>
        <v>124950</v>
      </c>
      <c r="F5" s="53">
        <v>10</v>
      </c>
      <c r="G5" s="53">
        <f t="shared" ref="G5:G12" si="0">400/F5</f>
        <v>40</v>
      </c>
      <c r="H5" s="53">
        <f t="shared" ref="H5:H12" si="1">E5/F5</f>
        <v>12495</v>
      </c>
      <c r="I5" s="53">
        <f t="shared" ref="I5:I10" si="2">H5*G5*F5</f>
        <v>4998000</v>
      </c>
      <c r="J5" s="53">
        <v>66</v>
      </c>
      <c r="K5" s="53">
        <f t="shared" ref="K5:K10" si="3">H5/J5</f>
        <v>189.31818181818181</v>
      </c>
      <c r="L5" s="53">
        <f t="shared" ref="L5:L10" si="4">K5*F5</f>
        <v>1893.181818181818</v>
      </c>
      <c r="M5" s="6" t="s">
        <v>15</v>
      </c>
    </row>
    <row r="6" spans="1:13" ht="26.25" customHeight="1">
      <c r="A6" s="4">
        <v>2</v>
      </c>
      <c r="B6" s="791" t="s">
        <v>16</v>
      </c>
      <c r="C6" s="791"/>
      <c r="D6" s="53" t="s">
        <v>17</v>
      </c>
      <c r="E6" s="53">
        <f>1666*50</f>
        <v>83300</v>
      </c>
      <c r="F6" s="53">
        <v>10</v>
      </c>
      <c r="G6" s="53">
        <f t="shared" si="0"/>
        <v>40</v>
      </c>
      <c r="H6" s="53">
        <f t="shared" si="1"/>
        <v>8330</v>
      </c>
      <c r="I6" s="53">
        <f t="shared" si="2"/>
        <v>3332000</v>
      </c>
      <c r="J6" s="53">
        <v>66</v>
      </c>
      <c r="K6" s="53">
        <f t="shared" si="3"/>
        <v>126.21212121212122</v>
      </c>
      <c r="L6" s="53">
        <f t="shared" si="4"/>
        <v>1262.1212121212122</v>
      </c>
      <c r="M6" s="6" t="s">
        <v>15</v>
      </c>
    </row>
    <row r="7" spans="1:13" ht="33" customHeight="1">
      <c r="A7" s="4">
        <v>3</v>
      </c>
      <c r="B7" s="781" t="s">
        <v>107</v>
      </c>
      <c r="C7" s="781"/>
      <c r="D7" s="7" t="s">
        <v>14</v>
      </c>
      <c r="E7" s="53">
        <f>(25*216*10)</f>
        <v>54000</v>
      </c>
      <c r="F7" s="53">
        <v>10</v>
      </c>
      <c r="G7" s="53">
        <f t="shared" si="0"/>
        <v>40</v>
      </c>
      <c r="H7" s="53">
        <f t="shared" si="1"/>
        <v>5400</v>
      </c>
      <c r="I7" s="53">
        <f t="shared" si="2"/>
        <v>2160000</v>
      </c>
      <c r="J7" s="53">
        <v>66</v>
      </c>
      <c r="K7" s="53">
        <f t="shared" si="3"/>
        <v>81.818181818181813</v>
      </c>
      <c r="L7" s="53">
        <f t="shared" si="4"/>
        <v>818.18181818181813</v>
      </c>
      <c r="M7" s="6" t="s">
        <v>15</v>
      </c>
    </row>
    <row r="8" spans="1:13" ht="33.75" customHeight="1">
      <c r="A8" s="4">
        <v>4</v>
      </c>
      <c r="B8" s="781" t="s">
        <v>19</v>
      </c>
      <c r="C8" s="781"/>
      <c r="D8" s="53" t="s">
        <v>17</v>
      </c>
      <c r="E8" s="53">
        <f>(25*216*3)</f>
        <v>16200</v>
      </c>
      <c r="F8" s="53">
        <v>10</v>
      </c>
      <c r="G8" s="53">
        <f t="shared" si="0"/>
        <v>40</v>
      </c>
      <c r="H8" s="53">
        <f t="shared" si="1"/>
        <v>1620</v>
      </c>
      <c r="I8" s="53">
        <f t="shared" si="2"/>
        <v>648000</v>
      </c>
      <c r="J8" s="53">
        <v>66</v>
      </c>
      <c r="K8" s="53">
        <f t="shared" si="3"/>
        <v>24.545454545454547</v>
      </c>
      <c r="L8" s="53">
        <f t="shared" si="4"/>
        <v>245.45454545454547</v>
      </c>
      <c r="M8" s="6" t="s">
        <v>15</v>
      </c>
    </row>
    <row r="9" spans="1:13" ht="26.25" customHeight="1">
      <c r="A9" s="4">
        <v>5</v>
      </c>
      <c r="B9" s="808" t="s">
        <v>109</v>
      </c>
      <c r="C9" s="809"/>
      <c r="D9" s="8" t="s">
        <v>20</v>
      </c>
      <c r="E9" s="53">
        <f>3*3*1000</f>
        <v>9000</v>
      </c>
      <c r="F9" s="53">
        <v>3</v>
      </c>
      <c r="G9" s="53">
        <f t="shared" si="0"/>
        <v>133.33333333333334</v>
      </c>
      <c r="H9" s="53">
        <f t="shared" si="1"/>
        <v>3000</v>
      </c>
      <c r="I9" s="53">
        <f t="shared" si="2"/>
        <v>1200000</v>
      </c>
      <c r="J9" s="53">
        <v>66</v>
      </c>
      <c r="K9" s="53">
        <f t="shared" si="3"/>
        <v>45.454545454545453</v>
      </c>
      <c r="L9" s="53">
        <f t="shared" si="4"/>
        <v>136.36363636363637</v>
      </c>
      <c r="M9" s="6" t="s">
        <v>15</v>
      </c>
    </row>
    <row r="10" spans="1:13" ht="26.25" customHeight="1">
      <c r="A10" s="4">
        <v>6</v>
      </c>
      <c r="B10" s="797" t="s">
        <v>21</v>
      </c>
      <c r="C10" s="797"/>
      <c r="D10" s="9" t="s">
        <v>22</v>
      </c>
      <c r="E10" s="10">
        <v>500</v>
      </c>
      <c r="F10" s="10">
        <v>1</v>
      </c>
      <c r="G10" s="10">
        <f t="shared" si="0"/>
        <v>400</v>
      </c>
      <c r="H10" s="10">
        <f t="shared" si="1"/>
        <v>500</v>
      </c>
      <c r="I10" s="10">
        <f t="shared" si="2"/>
        <v>200000</v>
      </c>
      <c r="J10" s="53">
        <v>66</v>
      </c>
      <c r="K10" s="53">
        <f t="shared" si="3"/>
        <v>7.5757575757575761</v>
      </c>
      <c r="L10" s="53">
        <f t="shared" si="4"/>
        <v>7.5757575757575761</v>
      </c>
      <c r="M10" s="6" t="s">
        <v>15</v>
      </c>
    </row>
    <row r="11" spans="1:13" ht="36" customHeight="1">
      <c r="A11" s="4">
        <v>7</v>
      </c>
      <c r="B11" s="806" t="s">
        <v>23</v>
      </c>
      <c r="C11" s="807"/>
      <c r="D11" s="53" t="s">
        <v>24</v>
      </c>
      <c r="E11" s="53">
        <v>4000</v>
      </c>
      <c r="F11" s="53">
        <v>50</v>
      </c>
      <c r="G11" s="53">
        <f t="shared" si="0"/>
        <v>8</v>
      </c>
      <c r="H11" s="53">
        <f t="shared" si="1"/>
        <v>80</v>
      </c>
      <c r="I11" s="53">
        <f>(H11*G11*F11)</f>
        <v>32000</v>
      </c>
      <c r="J11" s="53">
        <v>66</v>
      </c>
      <c r="K11" s="53">
        <f>(H11/J11)</f>
        <v>1.2121212121212122</v>
      </c>
      <c r="L11" s="53">
        <f>(K11*F11)</f>
        <v>60.606060606060609</v>
      </c>
      <c r="M11" s="6" t="s">
        <v>15</v>
      </c>
    </row>
    <row r="12" spans="1:13" ht="26.25" customHeight="1">
      <c r="A12" s="4">
        <v>8</v>
      </c>
      <c r="B12" s="798" t="s">
        <v>25</v>
      </c>
      <c r="C12" s="799"/>
      <c r="D12" s="53" t="s">
        <v>26</v>
      </c>
      <c r="E12" s="53">
        <v>200000</v>
      </c>
      <c r="F12" s="53">
        <v>200</v>
      </c>
      <c r="G12" s="53">
        <f t="shared" si="0"/>
        <v>2</v>
      </c>
      <c r="H12" s="53">
        <f t="shared" si="1"/>
        <v>1000</v>
      </c>
      <c r="I12" s="53">
        <f>(H12*G12*F12)</f>
        <v>400000</v>
      </c>
      <c r="J12" s="53">
        <v>66</v>
      </c>
      <c r="K12" s="53">
        <f>(H12/J12)</f>
        <v>15.151515151515152</v>
      </c>
      <c r="L12" s="53">
        <f>(K12*F12)</f>
        <v>3030.3030303030305</v>
      </c>
      <c r="M12" s="6" t="s">
        <v>15</v>
      </c>
    </row>
    <row r="13" spans="1:13" ht="18.75">
      <c r="A13" s="758" t="s">
        <v>27</v>
      </c>
      <c r="B13" s="758"/>
      <c r="C13" s="758"/>
      <c r="D13" s="11"/>
      <c r="E13" s="12"/>
      <c r="F13" s="12">
        <v>0</v>
      </c>
      <c r="G13" s="12">
        <v>0</v>
      </c>
      <c r="H13" s="48">
        <f>SUM(H5:H12)</f>
        <v>32425</v>
      </c>
      <c r="I13" s="48">
        <f>SUM(I5:I12)</f>
        <v>12970000</v>
      </c>
      <c r="J13" s="48"/>
      <c r="K13" s="48">
        <f>SUM(K5:K12)</f>
        <v>491.2878787878787</v>
      </c>
      <c r="L13" s="14"/>
      <c r="M13" s="14"/>
    </row>
    <row r="14" spans="1:13" ht="20.25">
      <c r="A14" s="792" t="s">
        <v>119</v>
      </c>
      <c r="B14" s="792"/>
      <c r="C14" s="792"/>
      <c r="D14" s="792"/>
      <c r="E14" s="792"/>
      <c r="F14" s="792"/>
      <c r="G14" s="792"/>
      <c r="H14" s="792"/>
      <c r="I14" s="792"/>
      <c r="J14" s="792"/>
      <c r="K14" s="792"/>
      <c r="L14" s="792"/>
      <c r="M14" s="792"/>
    </row>
    <row r="15" spans="1:13" ht="38.25" customHeight="1">
      <c r="A15" s="1" t="s">
        <v>1</v>
      </c>
      <c r="B15" s="793" t="s">
        <v>2</v>
      </c>
      <c r="C15" s="793"/>
      <c r="D15" s="47" t="s">
        <v>3</v>
      </c>
      <c r="E15" s="47" t="s">
        <v>4</v>
      </c>
      <c r="F15" s="47" t="s">
        <v>5</v>
      </c>
      <c r="G15" s="47" t="s">
        <v>6</v>
      </c>
      <c r="H15" s="47" t="s">
        <v>7</v>
      </c>
      <c r="I15" s="47" t="s">
        <v>8</v>
      </c>
      <c r="J15" s="47" t="s">
        <v>9</v>
      </c>
      <c r="K15" s="47" t="s">
        <v>10</v>
      </c>
      <c r="L15" s="47" t="s">
        <v>11</v>
      </c>
      <c r="M15" s="49" t="s">
        <v>12</v>
      </c>
    </row>
    <row r="16" spans="1:13" ht="27.75" customHeight="1">
      <c r="A16" s="4">
        <v>1</v>
      </c>
      <c r="B16" s="791" t="s">
        <v>13</v>
      </c>
      <c r="C16" s="791"/>
      <c r="D16" s="53" t="s">
        <v>14</v>
      </c>
      <c r="E16" s="53">
        <f>E17*1.5</f>
        <v>124950</v>
      </c>
      <c r="F16" s="53">
        <v>10</v>
      </c>
      <c r="G16" s="53">
        <f>400/F16</f>
        <v>40</v>
      </c>
      <c r="H16" s="53">
        <f>E16/F16</f>
        <v>12495</v>
      </c>
      <c r="I16" s="53">
        <f>H16*G16*F16</f>
        <v>4998000</v>
      </c>
      <c r="J16" s="53">
        <v>66</v>
      </c>
      <c r="K16" s="53">
        <f>H16/J16</f>
        <v>189.31818181818181</v>
      </c>
      <c r="L16" s="53">
        <f>K16*F16</f>
        <v>1893.181818181818</v>
      </c>
      <c r="M16" s="52" t="s">
        <v>29</v>
      </c>
    </row>
    <row r="17" spans="1:13" ht="27.75" customHeight="1">
      <c r="A17" s="4">
        <v>2</v>
      </c>
      <c r="B17" s="791" t="s">
        <v>16</v>
      </c>
      <c r="C17" s="791"/>
      <c r="D17" s="53" t="s">
        <v>17</v>
      </c>
      <c r="E17" s="53">
        <f>1666*50</f>
        <v>83300</v>
      </c>
      <c r="F17" s="53">
        <v>10</v>
      </c>
      <c r="G17" s="53">
        <f>400/F17</f>
        <v>40</v>
      </c>
      <c r="H17" s="53">
        <f>E17/F17</f>
        <v>8330</v>
      </c>
      <c r="I17" s="53">
        <f>H17*G17*F17</f>
        <v>3332000</v>
      </c>
      <c r="J17" s="53">
        <v>66</v>
      </c>
      <c r="K17" s="53">
        <f>H17/J17</f>
        <v>126.21212121212122</v>
      </c>
      <c r="L17" s="53">
        <f>K17*F17</f>
        <v>1262.1212121212122</v>
      </c>
      <c r="M17" s="52" t="s">
        <v>29</v>
      </c>
    </row>
    <row r="18" spans="1:13" ht="27.75" customHeight="1">
      <c r="A18" s="4">
        <v>3</v>
      </c>
      <c r="B18" s="781" t="s">
        <v>18</v>
      </c>
      <c r="C18" s="781"/>
      <c r="D18" s="7" t="s">
        <v>14</v>
      </c>
      <c r="E18" s="53">
        <f>(25*216*10)</f>
        <v>54000</v>
      </c>
      <c r="F18" s="53">
        <v>10</v>
      </c>
      <c r="G18" s="53">
        <f>400/F18</f>
        <v>40</v>
      </c>
      <c r="H18" s="53">
        <f>E18/F18</f>
        <v>5400</v>
      </c>
      <c r="I18" s="53">
        <f>H18*G18*F18</f>
        <v>2160000</v>
      </c>
      <c r="J18" s="53">
        <v>66</v>
      </c>
      <c r="K18" s="53">
        <f>H18/J18</f>
        <v>81.818181818181813</v>
      </c>
      <c r="L18" s="53">
        <f>K18*F18</f>
        <v>818.18181818181813</v>
      </c>
      <c r="M18" s="52" t="s">
        <v>29</v>
      </c>
    </row>
    <row r="19" spans="1:13" ht="27.75" customHeight="1">
      <c r="A19" s="4">
        <v>4</v>
      </c>
      <c r="B19" s="781" t="s">
        <v>19</v>
      </c>
      <c r="C19" s="781"/>
      <c r="D19" s="53" t="s">
        <v>17</v>
      </c>
      <c r="E19" s="53">
        <f>(25*216*3)</f>
        <v>16200</v>
      </c>
      <c r="F19" s="53">
        <v>10</v>
      </c>
      <c r="G19" s="53">
        <f>400/F19</f>
        <v>40</v>
      </c>
      <c r="H19" s="53">
        <f>E19/F19</f>
        <v>1620</v>
      </c>
      <c r="I19" s="53">
        <f>H19*G19*F19</f>
        <v>648000</v>
      </c>
      <c r="J19" s="53">
        <v>66</v>
      </c>
      <c r="K19" s="53">
        <f>H19/J19</f>
        <v>24.545454545454547</v>
      </c>
      <c r="L19" s="53">
        <f>K19*F19</f>
        <v>245.45454545454547</v>
      </c>
      <c r="M19" s="52" t="s">
        <v>29</v>
      </c>
    </row>
    <row r="20" spans="1:13" ht="27.75" customHeight="1">
      <c r="A20" s="758" t="s">
        <v>27</v>
      </c>
      <c r="B20" s="758"/>
      <c r="C20" s="758"/>
      <c r="D20" s="11"/>
      <c r="E20" s="12"/>
      <c r="F20" s="12">
        <v>0</v>
      </c>
      <c r="G20" s="12">
        <v>0</v>
      </c>
      <c r="H20" s="48">
        <f>SUM(H16:H19)</f>
        <v>27845</v>
      </c>
      <c r="I20" s="48">
        <f>SUM(I16:I19)</f>
        <v>11138000</v>
      </c>
      <c r="J20" s="48"/>
      <c r="K20" s="48">
        <f>SUM(K16:K19)</f>
        <v>421.89393939393938</v>
      </c>
      <c r="L20" s="14"/>
      <c r="M20" s="14"/>
    </row>
    <row r="21" spans="1:13" ht="27.75" customHeight="1">
      <c r="A21" s="792" t="s">
        <v>120</v>
      </c>
      <c r="B21" s="792"/>
      <c r="C21" s="792"/>
      <c r="D21" s="792"/>
      <c r="E21" s="792"/>
      <c r="F21" s="792"/>
      <c r="G21" s="792"/>
      <c r="H21" s="792"/>
      <c r="I21" s="792"/>
      <c r="J21" s="792"/>
      <c r="K21" s="792"/>
      <c r="L21" s="792"/>
      <c r="M21" s="792"/>
    </row>
    <row r="22" spans="1:13" ht="42" customHeight="1">
      <c r="A22" s="16" t="s">
        <v>1</v>
      </c>
      <c r="B22" s="793" t="s">
        <v>30</v>
      </c>
      <c r="C22" s="793"/>
      <c r="D22" s="47" t="s">
        <v>3</v>
      </c>
      <c r="E22" s="47" t="s">
        <v>31</v>
      </c>
      <c r="F22" s="47" t="s">
        <v>5</v>
      </c>
      <c r="G22" s="47" t="s">
        <v>6</v>
      </c>
      <c r="H22" s="47" t="s">
        <v>32</v>
      </c>
      <c r="I22" s="47" t="s">
        <v>8</v>
      </c>
      <c r="J22" s="47" t="s">
        <v>33</v>
      </c>
      <c r="K22" s="47" t="s">
        <v>34</v>
      </c>
      <c r="L22" s="47" t="s">
        <v>35</v>
      </c>
      <c r="M22" s="49" t="s">
        <v>12</v>
      </c>
    </row>
    <row r="23" spans="1:13" ht="31.5" customHeight="1">
      <c r="A23" s="60">
        <v>1</v>
      </c>
      <c r="B23" s="791" t="s">
        <v>145</v>
      </c>
      <c r="C23" s="791"/>
      <c r="D23" s="53" t="s">
        <v>14</v>
      </c>
      <c r="E23" s="53">
        <f>1666*30*1.5</f>
        <v>74970</v>
      </c>
      <c r="F23" s="53">
        <v>10</v>
      </c>
      <c r="G23" s="53">
        <f t="shared" ref="G23:G28" si="5">400/F23</f>
        <v>40</v>
      </c>
      <c r="H23" s="53">
        <f>E23/F23</f>
        <v>7497</v>
      </c>
      <c r="I23" s="53">
        <f>H23*G23*F23</f>
        <v>2998800</v>
      </c>
      <c r="J23" s="53">
        <v>44</v>
      </c>
      <c r="K23" s="53">
        <f t="shared" ref="K23:K28" si="6">H23/J23</f>
        <v>170.38636363636363</v>
      </c>
      <c r="L23" s="53">
        <f>K23*F23</f>
        <v>1703.8636363636363</v>
      </c>
      <c r="M23" s="52" t="s">
        <v>29</v>
      </c>
    </row>
    <row r="24" spans="1:13" ht="31.5" customHeight="1">
      <c r="A24" s="60"/>
      <c r="B24" s="791" t="s">
        <v>147</v>
      </c>
      <c r="C24" s="791"/>
      <c r="D24" s="53" t="s">
        <v>17</v>
      </c>
      <c r="E24" s="53">
        <f>30*1666</f>
        <v>49980</v>
      </c>
      <c r="F24" s="53">
        <v>10</v>
      </c>
      <c r="G24" s="53">
        <f t="shared" si="5"/>
        <v>40</v>
      </c>
      <c r="H24" s="53">
        <f>E24/F24</f>
        <v>4998</v>
      </c>
      <c r="I24" s="53">
        <f>H24*G24*F24</f>
        <v>1999200</v>
      </c>
      <c r="J24" s="53">
        <v>44</v>
      </c>
      <c r="K24" s="53">
        <f t="shared" si="6"/>
        <v>113.59090909090909</v>
      </c>
      <c r="L24" s="53">
        <f>K24*F24</f>
        <v>1135.909090909091</v>
      </c>
      <c r="M24" s="52"/>
    </row>
    <row r="25" spans="1:13" ht="33" customHeight="1">
      <c r="A25" s="60">
        <v>2</v>
      </c>
      <c r="B25" s="781" t="s">
        <v>112</v>
      </c>
      <c r="C25" s="781"/>
      <c r="D25" s="7" t="s">
        <v>14</v>
      </c>
      <c r="E25" s="53">
        <f>(20*216*10)</f>
        <v>43200</v>
      </c>
      <c r="F25" s="53">
        <v>10</v>
      </c>
      <c r="G25" s="53">
        <f t="shared" si="5"/>
        <v>40</v>
      </c>
      <c r="H25" s="53">
        <f>E25/F25</f>
        <v>4320</v>
      </c>
      <c r="I25" s="53">
        <f>H25*G25*F25</f>
        <v>1728000</v>
      </c>
      <c r="J25" s="53">
        <v>44</v>
      </c>
      <c r="K25" s="53">
        <f t="shared" si="6"/>
        <v>98.181818181818187</v>
      </c>
      <c r="L25" s="53">
        <f>K25*F25</f>
        <v>981.81818181818187</v>
      </c>
      <c r="M25" s="52" t="s">
        <v>29</v>
      </c>
    </row>
    <row r="26" spans="1:13" ht="31.5" customHeight="1">
      <c r="A26" s="60">
        <v>3</v>
      </c>
      <c r="B26" s="790" t="s">
        <v>39</v>
      </c>
      <c r="C26" s="790"/>
      <c r="D26" s="21" t="s">
        <v>40</v>
      </c>
      <c r="E26" s="42">
        <v>10</v>
      </c>
      <c r="F26" s="42">
        <v>20</v>
      </c>
      <c r="G26" s="42">
        <f t="shared" si="5"/>
        <v>20</v>
      </c>
      <c r="H26" s="42">
        <f>E26*22</f>
        <v>220</v>
      </c>
      <c r="I26" s="42">
        <f>H26*G26*F26</f>
        <v>88000</v>
      </c>
      <c r="J26" s="42">
        <v>44</v>
      </c>
      <c r="K26" s="53">
        <f t="shared" si="6"/>
        <v>5</v>
      </c>
      <c r="L26" s="20">
        <f>F26*K26</f>
        <v>100</v>
      </c>
      <c r="M26" s="52" t="s">
        <v>38</v>
      </c>
    </row>
    <row r="27" spans="1:13" ht="31.5" customHeight="1">
      <c r="A27" s="60">
        <v>4</v>
      </c>
      <c r="B27" s="791" t="s">
        <v>36</v>
      </c>
      <c r="C27" s="791"/>
      <c r="D27" s="17" t="s">
        <v>37</v>
      </c>
      <c r="E27" s="17">
        <f>E19+E17+E8+E6</f>
        <v>199000</v>
      </c>
      <c r="F27" s="17">
        <v>40</v>
      </c>
      <c r="G27" s="17">
        <f t="shared" si="5"/>
        <v>10</v>
      </c>
      <c r="H27" s="18">
        <f>E27/F27</f>
        <v>4975</v>
      </c>
      <c r="I27" s="42">
        <f>H27*G27*F27</f>
        <v>1990000</v>
      </c>
      <c r="J27" s="42">
        <v>44</v>
      </c>
      <c r="K27" s="53">
        <f t="shared" si="6"/>
        <v>113.06818181818181</v>
      </c>
      <c r="L27" s="20">
        <f>F27*K27</f>
        <v>4522.7272727272721</v>
      </c>
      <c r="M27" s="52" t="s">
        <v>38</v>
      </c>
    </row>
    <row r="28" spans="1:13" ht="31.5" customHeight="1">
      <c r="A28" s="60">
        <v>5</v>
      </c>
      <c r="B28" s="791" t="s">
        <v>88</v>
      </c>
      <c r="C28" s="791"/>
      <c r="D28" s="17" t="s">
        <v>37</v>
      </c>
      <c r="E28" s="17">
        <f>E19+E17+E8+E6</f>
        <v>199000</v>
      </c>
      <c r="F28" s="17">
        <v>120</v>
      </c>
      <c r="G28" s="17">
        <f t="shared" si="5"/>
        <v>3.3333333333333335</v>
      </c>
      <c r="H28" s="18">
        <f>E28/F28</f>
        <v>1658.3333333333333</v>
      </c>
      <c r="I28" s="42">
        <f>H28*G28*F28*6</f>
        <v>3979999.9999999995</v>
      </c>
      <c r="J28" s="42">
        <v>44</v>
      </c>
      <c r="K28" s="53">
        <f t="shared" si="6"/>
        <v>37.689393939393938</v>
      </c>
      <c r="L28" s="20">
        <f>F28*K28</f>
        <v>4522.7272727272721</v>
      </c>
      <c r="M28" s="52" t="s">
        <v>38</v>
      </c>
    </row>
    <row r="29" spans="1:13" ht="23.25" customHeight="1">
      <c r="A29" s="60">
        <v>6</v>
      </c>
      <c r="B29" s="800" t="s">
        <v>84</v>
      </c>
      <c r="C29" s="800"/>
      <c r="D29" s="54" t="s">
        <v>85</v>
      </c>
      <c r="E29" s="58">
        <f>E27*15</f>
        <v>2985000</v>
      </c>
      <c r="F29" s="55"/>
      <c r="G29" s="56">
        <v>0.3</v>
      </c>
      <c r="H29" s="55"/>
      <c r="I29" s="58">
        <f>G29*E29</f>
        <v>895500</v>
      </c>
      <c r="J29" s="53">
        <v>66</v>
      </c>
      <c r="K29" s="53"/>
      <c r="L29" s="20"/>
      <c r="M29" s="52" t="s">
        <v>38</v>
      </c>
    </row>
    <row r="30" spans="1:13" ht="31.5" customHeight="1">
      <c r="A30" s="60">
        <v>7</v>
      </c>
      <c r="B30" s="791" t="s">
        <v>113</v>
      </c>
      <c r="C30" s="791"/>
      <c r="D30" s="17" t="s">
        <v>41</v>
      </c>
      <c r="E30" s="22">
        <v>30</v>
      </c>
      <c r="F30" s="23">
        <v>0.5</v>
      </c>
      <c r="G30" s="17">
        <f>400/F30</f>
        <v>800</v>
      </c>
      <c r="H30" s="18">
        <f>E30/F30</f>
        <v>60</v>
      </c>
      <c r="I30" s="42">
        <f>H30*G30*F30</f>
        <v>24000</v>
      </c>
      <c r="J30" s="42">
        <v>44</v>
      </c>
      <c r="K30" s="53">
        <f>H30/J30</f>
        <v>1.3636363636363635</v>
      </c>
      <c r="L30" s="20">
        <f>F30*K30</f>
        <v>0.68181818181818177</v>
      </c>
      <c r="M30" s="52" t="s">
        <v>38</v>
      </c>
    </row>
    <row r="31" spans="1:13" ht="31.5" customHeight="1">
      <c r="A31" s="60">
        <v>8</v>
      </c>
      <c r="B31" s="781" t="s">
        <v>114</v>
      </c>
      <c r="C31" s="781"/>
      <c r="D31" s="17" t="s">
        <v>41</v>
      </c>
      <c r="E31" s="17">
        <v>20</v>
      </c>
      <c r="F31" s="23">
        <v>0.5</v>
      </c>
      <c r="G31" s="17">
        <f>400/F31</f>
        <v>800</v>
      </c>
      <c r="H31" s="18">
        <f>E31/F31</f>
        <v>40</v>
      </c>
      <c r="I31" s="17">
        <f>H31*G31*F31</f>
        <v>16000</v>
      </c>
      <c r="J31" s="42">
        <v>44</v>
      </c>
      <c r="K31" s="53">
        <f>H31/J31</f>
        <v>0.90909090909090906</v>
      </c>
      <c r="L31" s="20">
        <f>F31*K31</f>
        <v>0.45454545454545453</v>
      </c>
      <c r="M31" s="52" t="s">
        <v>38</v>
      </c>
    </row>
    <row r="32" spans="1:13" ht="18.75">
      <c r="A32" s="762" t="s">
        <v>42</v>
      </c>
      <c r="B32" s="762"/>
      <c r="C32" s="762"/>
      <c r="D32" s="12"/>
      <c r="E32" s="12"/>
      <c r="F32" s="12"/>
      <c r="G32" s="12"/>
      <c r="H32" s="25">
        <f>SUM(H23:H31)</f>
        <v>23768.333333333332</v>
      </c>
      <c r="I32" s="25">
        <f>SUM(I23:I31)</f>
        <v>13719500</v>
      </c>
      <c r="J32" s="25"/>
      <c r="K32" s="25">
        <f>SUM(K23:K31)</f>
        <v>540.18939393939399</v>
      </c>
      <c r="L32" s="26"/>
      <c r="M32" s="26"/>
    </row>
    <row r="33" spans="1:13" ht="42.75" customHeight="1">
      <c r="A33" s="803" t="s">
        <v>63</v>
      </c>
      <c r="B33" s="803"/>
      <c r="C33" s="803"/>
      <c r="D33" s="50"/>
      <c r="E33" s="50"/>
      <c r="F33" s="50"/>
      <c r="G33" s="50"/>
      <c r="H33" s="28">
        <f>SUM(H20+H32+H13)</f>
        <v>84038.333333333328</v>
      </c>
      <c r="I33" s="28">
        <f>SUM(I20+I32+I13)</f>
        <v>37827500</v>
      </c>
      <c r="J33" s="28"/>
      <c r="K33" s="28">
        <f>SUM(K20+K32+K13)</f>
        <v>1453.371212121212</v>
      </c>
      <c r="L33" s="28"/>
      <c r="M33" s="50"/>
    </row>
    <row r="34" spans="1:13" s="40" customFormat="1" ht="39" customHeight="1">
      <c r="A34" s="783" t="s">
        <v>43</v>
      </c>
      <c r="B34" s="783"/>
      <c r="C34" s="804" t="s">
        <v>82</v>
      </c>
      <c r="D34" s="804"/>
      <c r="E34" s="804"/>
      <c r="F34" s="804"/>
      <c r="G34" s="805" t="s">
        <v>44</v>
      </c>
      <c r="H34" s="805"/>
      <c r="I34" s="801" t="s">
        <v>87</v>
      </c>
      <c r="J34" s="802"/>
      <c r="K34" s="802"/>
      <c r="L34" s="38"/>
      <c r="M34" s="39"/>
    </row>
    <row r="35" spans="1:13" s="40" customFormat="1" ht="39" customHeight="1">
      <c r="A35" s="788" t="s">
        <v>89</v>
      </c>
      <c r="B35" s="788"/>
      <c r="C35" s="788"/>
      <c r="D35" s="46"/>
      <c r="E35" s="46"/>
      <c r="F35" s="46"/>
      <c r="G35" s="51"/>
      <c r="H35" s="51"/>
      <c r="I35" s="45"/>
      <c r="J35" s="45"/>
      <c r="K35" s="45"/>
      <c r="L35" s="38"/>
      <c r="M35" s="39"/>
    </row>
    <row r="36" spans="1:13" s="40" customFormat="1" ht="41.25" customHeight="1">
      <c r="A36" s="788" t="s">
        <v>45</v>
      </c>
      <c r="B36" s="788"/>
      <c r="C36" s="788"/>
      <c r="D36" s="789" t="s">
        <v>46</v>
      </c>
      <c r="E36" s="789"/>
      <c r="F36" s="786" t="s">
        <v>47</v>
      </c>
      <c r="G36" s="786"/>
      <c r="H36" s="786" t="s">
        <v>48</v>
      </c>
      <c r="I36" s="786"/>
      <c r="J36" s="774" t="s">
        <v>49</v>
      </c>
      <c r="K36" s="774"/>
      <c r="L36" s="38"/>
      <c r="M36" s="39"/>
    </row>
    <row r="37" spans="1:13" s="40" customFormat="1" ht="18.75" customHeight="1">
      <c r="A37" s="787" t="s">
        <v>50</v>
      </c>
      <c r="B37" s="787"/>
      <c r="C37" s="787"/>
      <c r="D37" s="785" t="s">
        <v>51</v>
      </c>
      <c r="E37" s="785"/>
      <c r="F37" s="785" t="s">
        <v>52</v>
      </c>
      <c r="G37" s="785"/>
      <c r="H37" s="785" t="s">
        <v>53</v>
      </c>
      <c r="I37" s="785"/>
      <c r="J37" s="785" t="s">
        <v>54</v>
      </c>
      <c r="K37" s="785"/>
      <c r="L37" s="785" t="s">
        <v>81</v>
      </c>
      <c r="M37" s="785"/>
    </row>
  </sheetData>
  <mergeCells count="49">
    <mergeCell ref="B6:C6"/>
    <mergeCell ref="A1:M1"/>
    <mergeCell ref="A2:M2"/>
    <mergeCell ref="A3:M3"/>
    <mergeCell ref="B4:C4"/>
    <mergeCell ref="B5:C5"/>
    <mergeCell ref="B18:C18"/>
    <mergeCell ref="B7:C7"/>
    <mergeCell ref="B8:C8"/>
    <mergeCell ref="B9:C9"/>
    <mergeCell ref="B10:C10"/>
    <mergeCell ref="B11:C11"/>
    <mergeCell ref="B12:C12"/>
    <mergeCell ref="A13:C13"/>
    <mergeCell ref="A14:M14"/>
    <mergeCell ref="B15:C15"/>
    <mergeCell ref="B16:C16"/>
    <mergeCell ref="B17:C17"/>
    <mergeCell ref="B31:C31"/>
    <mergeCell ref="B19:C19"/>
    <mergeCell ref="A20:C20"/>
    <mergeCell ref="A21:M21"/>
    <mergeCell ref="B22:C22"/>
    <mergeCell ref="B23:C23"/>
    <mergeCell ref="B25:C25"/>
    <mergeCell ref="B26:C26"/>
    <mergeCell ref="B27:C27"/>
    <mergeCell ref="B29:C29"/>
    <mergeCell ref="B28:C28"/>
    <mergeCell ref="B30:C30"/>
    <mergeCell ref="B24:C24"/>
    <mergeCell ref="I34:K34"/>
    <mergeCell ref="A35:C35"/>
    <mergeCell ref="A32:C32"/>
    <mergeCell ref="A33:C33"/>
    <mergeCell ref="A34:B34"/>
    <mergeCell ref="C34:F34"/>
    <mergeCell ref="G34:H34"/>
    <mergeCell ref="L37:M37"/>
    <mergeCell ref="J36:K36"/>
    <mergeCell ref="A37:C37"/>
    <mergeCell ref="D37:E37"/>
    <mergeCell ref="F37:G37"/>
    <mergeCell ref="H37:I37"/>
    <mergeCell ref="J37:K37"/>
    <mergeCell ref="A36:C36"/>
    <mergeCell ref="D36:E36"/>
    <mergeCell ref="F36:G36"/>
    <mergeCell ref="H36:I36"/>
  </mergeCells>
  <pageMargins left="0.7" right="0.7" top="0.75" bottom="0.75" header="0.3" footer="0.3"/>
  <pageSetup paperSize="9" scale="44" fitToWidth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  <pageSetUpPr fitToPage="1"/>
  </sheetPr>
  <dimension ref="A1:M37"/>
  <sheetViews>
    <sheetView rightToLeft="1" view="pageBreakPreview" topLeftCell="A22" zoomScale="70" zoomScaleSheetLayoutView="70" workbookViewId="0">
      <selection activeCell="A32" sqref="A32:C32"/>
    </sheetView>
  </sheetViews>
  <sheetFormatPr defaultRowHeight="15"/>
  <cols>
    <col min="2" max="2" width="9.125" customWidth="1"/>
    <col min="3" max="3" width="37.875" customWidth="1"/>
    <col min="4" max="4" width="14.125" customWidth="1"/>
    <col min="5" max="5" width="13" customWidth="1"/>
    <col min="6" max="6" width="13.25" customWidth="1"/>
    <col min="7" max="7" width="14" customWidth="1"/>
    <col min="8" max="8" width="15.125" customWidth="1"/>
    <col min="9" max="9" width="17.375" customWidth="1"/>
    <col min="10" max="11" width="14.125" customWidth="1"/>
    <col min="12" max="12" width="16.875" customWidth="1"/>
    <col min="13" max="13" width="27.875" customWidth="1"/>
  </cols>
  <sheetData>
    <row r="1" spans="1:13" ht="54.75" customHeight="1">
      <c r="A1" s="795" t="s">
        <v>121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  <c r="L1" s="795"/>
      <c r="M1" s="795"/>
    </row>
    <row r="2" spans="1:13" ht="18.75">
      <c r="A2" s="796" t="s">
        <v>0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</row>
    <row r="3" spans="1:13" ht="20.25">
      <c r="A3" s="792" t="s">
        <v>122</v>
      </c>
      <c r="B3" s="792"/>
      <c r="C3" s="792"/>
      <c r="D3" s="792"/>
      <c r="E3" s="792"/>
      <c r="F3" s="792"/>
      <c r="G3" s="792"/>
      <c r="H3" s="792"/>
      <c r="I3" s="792"/>
      <c r="J3" s="792"/>
      <c r="K3" s="792"/>
      <c r="L3" s="792"/>
      <c r="M3" s="792"/>
    </row>
    <row r="4" spans="1:13" ht="39" customHeight="1">
      <c r="A4" s="1" t="s">
        <v>1</v>
      </c>
      <c r="B4" s="793" t="s">
        <v>2</v>
      </c>
      <c r="C4" s="793"/>
      <c r="D4" s="47" t="s">
        <v>3</v>
      </c>
      <c r="E4" s="47" t="s">
        <v>4</v>
      </c>
      <c r="F4" s="47" t="s">
        <v>5</v>
      </c>
      <c r="G4" s="47" t="s">
        <v>6</v>
      </c>
      <c r="H4" s="47" t="s">
        <v>7</v>
      </c>
      <c r="I4" s="47" t="s">
        <v>8</v>
      </c>
      <c r="J4" s="47" t="s">
        <v>9</v>
      </c>
      <c r="K4" s="47" t="s">
        <v>10</v>
      </c>
      <c r="L4" s="47" t="s">
        <v>11</v>
      </c>
      <c r="M4" s="49" t="s">
        <v>12</v>
      </c>
    </row>
    <row r="5" spans="1:13" ht="26.25" customHeight="1">
      <c r="A5" s="4">
        <v>1</v>
      </c>
      <c r="B5" s="791" t="s">
        <v>108</v>
      </c>
      <c r="C5" s="791"/>
      <c r="D5" s="53" t="s">
        <v>14</v>
      </c>
      <c r="E5" s="53">
        <f>E6*1.5</f>
        <v>124950</v>
      </c>
      <c r="F5" s="53">
        <v>10</v>
      </c>
      <c r="G5" s="53">
        <f t="shared" ref="G5:G12" si="0">400/F5</f>
        <v>40</v>
      </c>
      <c r="H5" s="53">
        <f t="shared" ref="H5:H12" si="1">E5/F5</f>
        <v>12495</v>
      </c>
      <c r="I5" s="53">
        <f t="shared" ref="I5:I10" si="2">H5*G5*F5</f>
        <v>4998000</v>
      </c>
      <c r="J5" s="53">
        <v>66</v>
      </c>
      <c r="K5" s="53">
        <f t="shared" ref="K5:K10" si="3">H5/J5</f>
        <v>189.31818181818181</v>
      </c>
      <c r="L5" s="53">
        <f t="shared" ref="L5:L10" si="4">K5*F5</f>
        <v>1893.181818181818</v>
      </c>
      <c r="M5" s="6" t="s">
        <v>15</v>
      </c>
    </row>
    <row r="6" spans="1:13" ht="26.25" customHeight="1">
      <c r="A6" s="4">
        <v>2</v>
      </c>
      <c r="B6" s="791" t="s">
        <v>16</v>
      </c>
      <c r="C6" s="791"/>
      <c r="D6" s="53" t="s">
        <v>17</v>
      </c>
      <c r="E6" s="53">
        <f>1666*50</f>
        <v>83300</v>
      </c>
      <c r="F6" s="53">
        <v>10</v>
      </c>
      <c r="G6" s="53">
        <f t="shared" si="0"/>
        <v>40</v>
      </c>
      <c r="H6" s="53">
        <f t="shared" si="1"/>
        <v>8330</v>
      </c>
      <c r="I6" s="53">
        <f t="shared" si="2"/>
        <v>3332000</v>
      </c>
      <c r="J6" s="53">
        <v>66</v>
      </c>
      <c r="K6" s="53">
        <f t="shared" si="3"/>
        <v>126.21212121212122</v>
      </c>
      <c r="L6" s="53">
        <f t="shared" si="4"/>
        <v>1262.1212121212122</v>
      </c>
      <c r="M6" s="6" t="s">
        <v>15</v>
      </c>
    </row>
    <row r="7" spans="1:13" ht="33" customHeight="1">
      <c r="A7" s="4">
        <v>3</v>
      </c>
      <c r="B7" s="781" t="s">
        <v>107</v>
      </c>
      <c r="C7" s="781"/>
      <c r="D7" s="7" t="s">
        <v>14</v>
      </c>
      <c r="E7" s="53">
        <f>(25*216*10)</f>
        <v>54000</v>
      </c>
      <c r="F7" s="53">
        <v>10</v>
      </c>
      <c r="G7" s="53">
        <f t="shared" si="0"/>
        <v>40</v>
      </c>
      <c r="H7" s="53">
        <f t="shared" si="1"/>
        <v>5400</v>
      </c>
      <c r="I7" s="53">
        <f t="shared" si="2"/>
        <v>2160000</v>
      </c>
      <c r="J7" s="53">
        <v>66</v>
      </c>
      <c r="K7" s="53">
        <f t="shared" si="3"/>
        <v>81.818181818181813</v>
      </c>
      <c r="L7" s="53">
        <f t="shared" si="4"/>
        <v>818.18181818181813</v>
      </c>
      <c r="M7" s="6" t="s">
        <v>15</v>
      </c>
    </row>
    <row r="8" spans="1:13" ht="33.75" customHeight="1">
      <c r="A8" s="4">
        <v>4</v>
      </c>
      <c r="B8" s="781" t="s">
        <v>19</v>
      </c>
      <c r="C8" s="781"/>
      <c r="D8" s="53" t="s">
        <v>17</v>
      </c>
      <c r="E8" s="53">
        <f>(25*216*3)</f>
        <v>16200</v>
      </c>
      <c r="F8" s="53">
        <v>10</v>
      </c>
      <c r="G8" s="53">
        <f t="shared" si="0"/>
        <v>40</v>
      </c>
      <c r="H8" s="53">
        <f t="shared" si="1"/>
        <v>1620</v>
      </c>
      <c r="I8" s="53">
        <f t="shared" si="2"/>
        <v>648000</v>
      </c>
      <c r="J8" s="53">
        <v>66</v>
      </c>
      <c r="K8" s="53">
        <f t="shared" si="3"/>
        <v>24.545454545454547</v>
      </c>
      <c r="L8" s="53">
        <f t="shared" si="4"/>
        <v>245.45454545454547</v>
      </c>
      <c r="M8" s="6" t="s">
        <v>15</v>
      </c>
    </row>
    <row r="9" spans="1:13" ht="26.25" customHeight="1">
      <c r="A9" s="4">
        <v>5</v>
      </c>
      <c r="B9" s="808" t="s">
        <v>109</v>
      </c>
      <c r="C9" s="809"/>
      <c r="D9" s="8" t="s">
        <v>20</v>
      </c>
      <c r="E9" s="53">
        <f>3*3*1000</f>
        <v>9000</v>
      </c>
      <c r="F9" s="53">
        <v>3</v>
      </c>
      <c r="G9" s="53">
        <f t="shared" si="0"/>
        <v>133.33333333333334</v>
      </c>
      <c r="H9" s="53">
        <f t="shared" si="1"/>
        <v>3000</v>
      </c>
      <c r="I9" s="53">
        <f t="shared" si="2"/>
        <v>1200000</v>
      </c>
      <c r="J9" s="53">
        <v>66</v>
      </c>
      <c r="K9" s="53">
        <f t="shared" si="3"/>
        <v>45.454545454545453</v>
      </c>
      <c r="L9" s="53">
        <f t="shared" si="4"/>
        <v>136.36363636363637</v>
      </c>
      <c r="M9" s="6" t="s">
        <v>15</v>
      </c>
    </row>
    <row r="10" spans="1:13" ht="26.25" customHeight="1">
      <c r="A10" s="4">
        <v>6</v>
      </c>
      <c r="B10" s="797" t="s">
        <v>21</v>
      </c>
      <c r="C10" s="797"/>
      <c r="D10" s="9" t="s">
        <v>22</v>
      </c>
      <c r="E10" s="10">
        <v>500</v>
      </c>
      <c r="F10" s="10">
        <v>1</v>
      </c>
      <c r="G10" s="10">
        <f t="shared" si="0"/>
        <v>400</v>
      </c>
      <c r="H10" s="10">
        <f t="shared" si="1"/>
        <v>500</v>
      </c>
      <c r="I10" s="10">
        <f t="shared" si="2"/>
        <v>200000</v>
      </c>
      <c r="J10" s="53">
        <v>66</v>
      </c>
      <c r="K10" s="53">
        <f t="shared" si="3"/>
        <v>7.5757575757575761</v>
      </c>
      <c r="L10" s="53">
        <f t="shared" si="4"/>
        <v>7.5757575757575761</v>
      </c>
      <c r="M10" s="6" t="s">
        <v>15</v>
      </c>
    </row>
    <row r="11" spans="1:13" ht="36" customHeight="1">
      <c r="A11" s="4">
        <v>7</v>
      </c>
      <c r="B11" s="806" t="s">
        <v>23</v>
      </c>
      <c r="C11" s="807"/>
      <c r="D11" s="53" t="s">
        <v>24</v>
      </c>
      <c r="E11" s="53">
        <v>4000</v>
      </c>
      <c r="F11" s="53">
        <v>50</v>
      </c>
      <c r="G11" s="53">
        <f t="shared" si="0"/>
        <v>8</v>
      </c>
      <c r="H11" s="53">
        <f t="shared" si="1"/>
        <v>80</v>
      </c>
      <c r="I11" s="53">
        <f>(H11*G11*F11)</f>
        <v>32000</v>
      </c>
      <c r="J11" s="53">
        <v>66</v>
      </c>
      <c r="K11" s="53">
        <f>(H11/J11)</f>
        <v>1.2121212121212122</v>
      </c>
      <c r="L11" s="53">
        <f>(K11*F11)</f>
        <v>60.606060606060609</v>
      </c>
      <c r="M11" s="6" t="s">
        <v>15</v>
      </c>
    </row>
    <row r="12" spans="1:13" ht="26.25" customHeight="1">
      <c r="A12" s="4">
        <v>8</v>
      </c>
      <c r="B12" s="798" t="s">
        <v>25</v>
      </c>
      <c r="C12" s="799"/>
      <c r="D12" s="53" t="s">
        <v>26</v>
      </c>
      <c r="E12" s="53">
        <v>200000</v>
      </c>
      <c r="F12" s="53">
        <v>200</v>
      </c>
      <c r="G12" s="53">
        <f t="shared" si="0"/>
        <v>2</v>
      </c>
      <c r="H12" s="53">
        <f t="shared" si="1"/>
        <v>1000</v>
      </c>
      <c r="I12" s="53">
        <f>(H12*G12*F12)</f>
        <v>400000</v>
      </c>
      <c r="J12" s="53">
        <v>66</v>
      </c>
      <c r="K12" s="53">
        <f>(H12/J12)</f>
        <v>15.151515151515152</v>
      </c>
      <c r="L12" s="53">
        <f>(K12*F12)</f>
        <v>3030.3030303030305</v>
      </c>
      <c r="M12" s="6" t="s">
        <v>15</v>
      </c>
    </row>
    <row r="13" spans="1:13" ht="18.75">
      <c r="A13" s="758" t="s">
        <v>27</v>
      </c>
      <c r="B13" s="758"/>
      <c r="C13" s="758"/>
      <c r="D13" s="11"/>
      <c r="E13" s="12"/>
      <c r="F13" s="12">
        <v>0</v>
      </c>
      <c r="G13" s="12">
        <v>0</v>
      </c>
      <c r="H13" s="48">
        <f>SUM(H5:H12)</f>
        <v>32425</v>
      </c>
      <c r="I13" s="48">
        <f>SUM(I5:I12)</f>
        <v>12970000</v>
      </c>
      <c r="J13" s="48"/>
      <c r="K13" s="48">
        <f>SUM(K5:K12)</f>
        <v>491.2878787878787</v>
      </c>
      <c r="L13" s="14"/>
      <c r="M13" s="14"/>
    </row>
    <row r="14" spans="1:13" ht="20.25">
      <c r="A14" s="792" t="s">
        <v>123</v>
      </c>
      <c r="B14" s="792"/>
      <c r="C14" s="792"/>
      <c r="D14" s="792"/>
      <c r="E14" s="792"/>
      <c r="F14" s="792"/>
      <c r="G14" s="792"/>
      <c r="H14" s="792"/>
      <c r="I14" s="792"/>
      <c r="J14" s="792"/>
      <c r="K14" s="792"/>
      <c r="L14" s="792"/>
      <c r="M14" s="792"/>
    </row>
    <row r="15" spans="1:13" ht="38.25" customHeight="1">
      <c r="A15" s="1" t="s">
        <v>1</v>
      </c>
      <c r="B15" s="793" t="s">
        <v>2</v>
      </c>
      <c r="C15" s="793"/>
      <c r="D15" s="47" t="s">
        <v>3</v>
      </c>
      <c r="E15" s="47" t="s">
        <v>4</v>
      </c>
      <c r="F15" s="47" t="s">
        <v>5</v>
      </c>
      <c r="G15" s="47" t="s">
        <v>6</v>
      </c>
      <c r="H15" s="47" t="s">
        <v>7</v>
      </c>
      <c r="I15" s="47" t="s">
        <v>8</v>
      </c>
      <c r="J15" s="47" t="s">
        <v>9</v>
      </c>
      <c r="K15" s="47" t="s">
        <v>10</v>
      </c>
      <c r="L15" s="47" t="s">
        <v>11</v>
      </c>
      <c r="M15" s="49" t="s">
        <v>12</v>
      </c>
    </row>
    <row r="16" spans="1:13" ht="27.75" customHeight="1">
      <c r="A16" s="4">
        <v>1</v>
      </c>
      <c r="B16" s="791" t="s">
        <v>13</v>
      </c>
      <c r="C16" s="791"/>
      <c r="D16" s="53" t="s">
        <v>14</v>
      </c>
      <c r="E16" s="53">
        <f>E17*1.5</f>
        <v>124950</v>
      </c>
      <c r="F16" s="53">
        <v>10</v>
      </c>
      <c r="G16" s="53">
        <f>400/F16</f>
        <v>40</v>
      </c>
      <c r="H16" s="53">
        <f>E16/F16</f>
        <v>12495</v>
      </c>
      <c r="I16" s="53">
        <f>H16*G16*F16</f>
        <v>4998000</v>
      </c>
      <c r="J16" s="53">
        <v>66</v>
      </c>
      <c r="K16" s="53">
        <f>H16/J16</f>
        <v>189.31818181818181</v>
      </c>
      <c r="L16" s="53">
        <f>K16*F16</f>
        <v>1893.181818181818</v>
      </c>
      <c r="M16" s="52" t="s">
        <v>29</v>
      </c>
    </row>
    <row r="17" spans="1:13" ht="27.75" customHeight="1">
      <c r="A17" s="4">
        <v>2</v>
      </c>
      <c r="B17" s="791" t="s">
        <v>16</v>
      </c>
      <c r="C17" s="791"/>
      <c r="D17" s="53" t="s">
        <v>17</v>
      </c>
      <c r="E17" s="53">
        <f>1666*50</f>
        <v>83300</v>
      </c>
      <c r="F17" s="53">
        <v>10</v>
      </c>
      <c r="G17" s="53">
        <f>400/F17</f>
        <v>40</v>
      </c>
      <c r="H17" s="53">
        <f>E17/F17</f>
        <v>8330</v>
      </c>
      <c r="I17" s="53">
        <f>H17*G17*F17</f>
        <v>3332000</v>
      </c>
      <c r="J17" s="53">
        <v>66</v>
      </c>
      <c r="K17" s="53">
        <f>H17/J17</f>
        <v>126.21212121212122</v>
      </c>
      <c r="L17" s="53">
        <f>K17*F17</f>
        <v>1262.1212121212122</v>
      </c>
      <c r="M17" s="52" t="s">
        <v>29</v>
      </c>
    </row>
    <row r="18" spans="1:13" ht="27.75" customHeight="1">
      <c r="A18" s="4">
        <v>3</v>
      </c>
      <c r="B18" s="781" t="s">
        <v>18</v>
      </c>
      <c r="C18" s="781"/>
      <c r="D18" s="7" t="s">
        <v>14</v>
      </c>
      <c r="E18" s="53">
        <f>(25*216*10)</f>
        <v>54000</v>
      </c>
      <c r="F18" s="53">
        <v>10</v>
      </c>
      <c r="G18" s="53">
        <f>400/F18</f>
        <v>40</v>
      </c>
      <c r="H18" s="53">
        <f>E18/F18</f>
        <v>5400</v>
      </c>
      <c r="I18" s="53">
        <f>H18*G18*F18</f>
        <v>2160000</v>
      </c>
      <c r="J18" s="53">
        <v>66</v>
      </c>
      <c r="K18" s="53">
        <f>H18/J18</f>
        <v>81.818181818181813</v>
      </c>
      <c r="L18" s="53">
        <f>K18*F18</f>
        <v>818.18181818181813</v>
      </c>
      <c r="M18" s="52" t="s">
        <v>29</v>
      </c>
    </row>
    <row r="19" spans="1:13" ht="27.75" customHeight="1">
      <c r="A19" s="4">
        <v>4</v>
      </c>
      <c r="B19" s="781" t="s">
        <v>19</v>
      </c>
      <c r="C19" s="781"/>
      <c r="D19" s="53" t="s">
        <v>17</v>
      </c>
      <c r="E19" s="53">
        <f>(25*216*3)</f>
        <v>16200</v>
      </c>
      <c r="F19" s="53">
        <v>10</v>
      </c>
      <c r="G19" s="53">
        <f>400/F19</f>
        <v>40</v>
      </c>
      <c r="H19" s="53">
        <f>E19/F19</f>
        <v>1620</v>
      </c>
      <c r="I19" s="53">
        <f>H19*G19*F19</f>
        <v>648000</v>
      </c>
      <c r="J19" s="53">
        <v>66</v>
      </c>
      <c r="K19" s="53">
        <f>H19/J19</f>
        <v>24.545454545454547</v>
      </c>
      <c r="L19" s="53">
        <f>K19*F19</f>
        <v>245.45454545454547</v>
      </c>
      <c r="M19" s="52" t="s">
        <v>29</v>
      </c>
    </row>
    <row r="20" spans="1:13" ht="27.75" customHeight="1">
      <c r="A20" s="758" t="s">
        <v>27</v>
      </c>
      <c r="B20" s="758"/>
      <c r="C20" s="758"/>
      <c r="D20" s="11"/>
      <c r="E20" s="12"/>
      <c r="F20" s="12">
        <v>0</v>
      </c>
      <c r="G20" s="12">
        <v>0</v>
      </c>
      <c r="H20" s="48">
        <f>SUM(H16:H19)</f>
        <v>27845</v>
      </c>
      <c r="I20" s="48">
        <f>SUM(I16:I19)</f>
        <v>11138000</v>
      </c>
      <c r="J20" s="48"/>
      <c r="K20" s="48">
        <f>SUM(K16:K19)</f>
        <v>421.89393939393938</v>
      </c>
      <c r="L20" s="14"/>
      <c r="M20" s="14"/>
    </row>
    <row r="21" spans="1:13" ht="27.75" customHeight="1">
      <c r="A21" s="792" t="s">
        <v>124</v>
      </c>
      <c r="B21" s="792"/>
      <c r="C21" s="792"/>
      <c r="D21" s="792"/>
      <c r="E21" s="792"/>
      <c r="F21" s="792"/>
      <c r="G21" s="792"/>
      <c r="H21" s="792"/>
      <c r="I21" s="792"/>
      <c r="J21" s="792"/>
      <c r="K21" s="792"/>
      <c r="L21" s="792"/>
      <c r="M21" s="792"/>
    </row>
    <row r="22" spans="1:13" ht="42" customHeight="1">
      <c r="A22" s="16" t="s">
        <v>1</v>
      </c>
      <c r="B22" s="793" t="s">
        <v>30</v>
      </c>
      <c r="C22" s="793"/>
      <c r="D22" s="47" t="s">
        <v>3</v>
      </c>
      <c r="E22" s="47" t="s">
        <v>31</v>
      </c>
      <c r="F22" s="47" t="s">
        <v>5</v>
      </c>
      <c r="G22" s="47" t="s">
        <v>6</v>
      </c>
      <c r="H22" s="47" t="s">
        <v>32</v>
      </c>
      <c r="I22" s="47" t="s">
        <v>8</v>
      </c>
      <c r="J22" s="47" t="s">
        <v>33</v>
      </c>
      <c r="K22" s="47" t="s">
        <v>34</v>
      </c>
      <c r="L22" s="47" t="s">
        <v>35</v>
      </c>
      <c r="M22" s="49" t="s">
        <v>12</v>
      </c>
    </row>
    <row r="23" spans="1:13" ht="43.5" customHeight="1">
      <c r="A23" s="60">
        <v>1</v>
      </c>
      <c r="B23" s="791" t="s">
        <v>145</v>
      </c>
      <c r="C23" s="791"/>
      <c r="D23" s="53" t="s">
        <v>14</v>
      </c>
      <c r="E23" s="53">
        <f>1666*30*1.5</f>
        <v>74970</v>
      </c>
      <c r="F23" s="53">
        <v>10</v>
      </c>
      <c r="G23" s="53">
        <f>400/F23</f>
        <v>40</v>
      </c>
      <c r="H23" s="53">
        <f>E23/F23</f>
        <v>7497</v>
      </c>
      <c r="I23" s="53">
        <f>H23*G23*F23</f>
        <v>2998800</v>
      </c>
      <c r="J23" s="53">
        <v>44</v>
      </c>
      <c r="K23" s="53">
        <f>H23/J23</f>
        <v>170.38636363636363</v>
      </c>
      <c r="L23" s="53">
        <f>K23*F23</f>
        <v>1703.8636363636363</v>
      </c>
      <c r="M23" s="52" t="s">
        <v>29</v>
      </c>
    </row>
    <row r="24" spans="1:13" ht="43.5" customHeight="1">
      <c r="A24" s="60"/>
      <c r="B24" s="810" t="s">
        <v>146</v>
      </c>
      <c r="C24" s="811"/>
      <c r="D24" s="53" t="s">
        <v>17</v>
      </c>
      <c r="E24" s="53">
        <f>30*1666</f>
        <v>49980</v>
      </c>
      <c r="F24" s="53">
        <v>10</v>
      </c>
      <c r="G24" s="53">
        <f>400/F24</f>
        <v>40</v>
      </c>
      <c r="H24" s="53">
        <f>E24/F24</f>
        <v>4998</v>
      </c>
      <c r="I24" s="53">
        <f>H24*G24*F24</f>
        <v>1999200</v>
      </c>
      <c r="J24" s="53">
        <v>44</v>
      </c>
      <c r="K24" s="53">
        <f>H24/J24</f>
        <v>113.59090909090909</v>
      </c>
      <c r="L24" s="53">
        <f>K24*F24</f>
        <v>1135.909090909091</v>
      </c>
      <c r="M24" s="52" t="s">
        <v>29</v>
      </c>
    </row>
    <row r="25" spans="1:13" ht="33" customHeight="1">
      <c r="A25" s="60">
        <v>2</v>
      </c>
      <c r="B25" s="781" t="s">
        <v>112</v>
      </c>
      <c r="C25" s="781"/>
      <c r="D25" s="7" t="s">
        <v>14</v>
      </c>
      <c r="E25" s="53">
        <f>(20*216*10)</f>
        <v>43200</v>
      </c>
      <c r="F25" s="53">
        <v>10</v>
      </c>
      <c r="G25" s="53">
        <f>400/F25</f>
        <v>40</v>
      </c>
      <c r="H25" s="53">
        <f>E25/F25</f>
        <v>4320</v>
      </c>
      <c r="I25" s="53">
        <f>H25*G25*F25</f>
        <v>1728000</v>
      </c>
      <c r="J25" s="53">
        <v>44</v>
      </c>
      <c r="K25" s="53">
        <f>H25/J25</f>
        <v>98.181818181818187</v>
      </c>
      <c r="L25" s="53">
        <f>K25*F25</f>
        <v>981.81818181818187</v>
      </c>
      <c r="M25" s="52" t="s">
        <v>29</v>
      </c>
    </row>
    <row r="26" spans="1:13" ht="31.5" customHeight="1">
      <c r="A26" s="60">
        <v>3</v>
      </c>
      <c r="B26" s="790" t="s">
        <v>39</v>
      </c>
      <c r="C26" s="790"/>
      <c r="D26" s="21" t="s">
        <v>40</v>
      </c>
      <c r="E26" s="42">
        <v>10</v>
      </c>
      <c r="F26" s="42">
        <v>20</v>
      </c>
      <c r="G26" s="42">
        <f>400/F26</f>
        <v>20</v>
      </c>
      <c r="H26" s="42">
        <f>E26*22</f>
        <v>220</v>
      </c>
      <c r="I26" s="42">
        <f>H26*G26*F26</f>
        <v>88000</v>
      </c>
      <c r="J26" s="42">
        <v>44</v>
      </c>
      <c r="K26" s="53">
        <f>H26/J26</f>
        <v>5</v>
      </c>
      <c r="L26" s="20">
        <f>F26*K26</f>
        <v>100</v>
      </c>
      <c r="M26" s="52" t="s">
        <v>38</v>
      </c>
    </row>
    <row r="27" spans="1:13" ht="31.5" customHeight="1">
      <c r="A27" s="60">
        <v>4</v>
      </c>
      <c r="B27" s="791" t="s">
        <v>36</v>
      </c>
      <c r="C27" s="791"/>
      <c r="D27" s="17" t="s">
        <v>37</v>
      </c>
      <c r="E27" s="17">
        <f>E19+E17+E8+E6</f>
        <v>199000</v>
      </c>
      <c r="F27" s="17">
        <v>40</v>
      </c>
      <c r="G27" s="17">
        <f>400/F27</f>
        <v>10</v>
      </c>
      <c r="H27" s="18">
        <f>E27/F27</f>
        <v>4975</v>
      </c>
      <c r="I27" s="42">
        <f>H27*G27*F27</f>
        <v>1990000</v>
      </c>
      <c r="J27" s="42">
        <v>44</v>
      </c>
      <c r="K27" s="53">
        <f>H27/J27</f>
        <v>113.06818181818181</v>
      </c>
      <c r="L27" s="20">
        <f>F27*K27</f>
        <v>4522.7272727272721</v>
      </c>
      <c r="M27" s="52" t="s">
        <v>38</v>
      </c>
    </row>
    <row r="28" spans="1:13" ht="23.25" customHeight="1">
      <c r="A28" s="60">
        <v>5</v>
      </c>
      <c r="B28" s="800" t="s">
        <v>84</v>
      </c>
      <c r="C28" s="800"/>
      <c r="D28" s="54" t="s">
        <v>85</v>
      </c>
      <c r="E28" s="58">
        <f>E27*15</f>
        <v>2985000</v>
      </c>
      <c r="F28" s="55"/>
      <c r="G28" s="56">
        <v>0.3</v>
      </c>
      <c r="H28" s="55"/>
      <c r="I28" s="58">
        <f>G28*E28</f>
        <v>895500</v>
      </c>
      <c r="J28" s="53">
        <v>66</v>
      </c>
      <c r="K28" s="53"/>
      <c r="L28" s="20"/>
      <c r="M28" s="52" t="s">
        <v>38</v>
      </c>
    </row>
    <row r="29" spans="1:13" ht="31.5" customHeight="1">
      <c r="A29" s="60">
        <v>6</v>
      </c>
      <c r="B29" s="791" t="s">
        <v>88</v>
      </c>
      <c r="C29" s="791"/>
      <c r="D29" s="17" t="s">
        <v>37</v>
      </c>
      <c r="E29" s="17">
        <f>E19+E17+E8+E6</f>
        <v>199000</v>
      </c>
      <c r="F29" s="17">
        <v>120</v>
      </c>
      <c r="G29" s="17">
        <f>400/F29</f>
        <v>3.3333333333333335</v>
      </c>
      <c r="H29" s="18">
        <f>E29/F29</f>
        <v>1658.3333333333333</v>
      </c>
      <c r="I29" s="42">
        <f>H29*G29*F29*6</f>
        <v>3979999.9999999995</v>
      </c>
      <c r="J29" s="42">
        <v>44</v>
      </c>
      <c r="K29" s="53">
        <f>H29/J29</f>
        <v>37.689393939393938</v>
      </c>
      <c r="L29" s="20">
        <f>F29*K29</f>
        <v>4522.7272727272721</v>
      </c>
      <c r="M29" s="52" t="s">
        <v>38</v>
      </c>
    </row>
    <row r="30" spans="1:13" ht="31.5" customHeight="1">
      <c r="A30" s="60">
        <v>7</v>
      </c>
      <c r="B30" s="791" t="s">
        <v>113</v>
      </c>
      <c r="C30" s="791"/>
      <c r="D30" s="17" t="s">
        <v>41</v>
      </c>
      <c r="E30" s="22">
        <v>30</v>
      </c>
      <c r="F30" s="23">
        <v>0.5</v>
      </c>
      <c r="G30" s="17">
        <f>400/F30</f>
        <v>800</v>
      </c>
      <c r="H30" s="18">
        <f>E30/F30</f>
        <v>60</v>
      </c>
      <c r="I30" s="42">
        <f>H30*G30*F30</f>
        <v>24000</v>
      </c>
      <c r="J30" s="42">
        <v>44</v>
      </c>
      <c r="K30" s="53">
        <f>H30/J30</f>
        <v>1.3636363636363635</v>
      </c>
      <c r="L30" s="20">
        <f>F30*K30</f>
        <v>0.68181818181818177</v>
      </c>
      <c r="M30" s="52" t="s">
        <v>38</v>
      </c>
    </row>
    <row r="31" spans="1:13" ht="31.5" customHeight="1">
      <c r="A31" s="60">
        <v>8</v>
      </c>
      <c r="B31" s="781" t="s">
        <v>114</v>
      </c>
      <c r="C31" s="781"/>
      <c r="D31" s="17" t="s">
        <v>41</v>
      </c>
      <c r="E31" s="17">
        <v>20</v>
      </c>
      <c r="F31" s="23">
        <v>0.5</v>
      </c>
      <c r="G31" s="17">
        <f>400/F31</f>
        <v>800</v>
      </c>
      <c r="H31" s="18">
        <f>E31/F31</f>
        <v>40</v>
      </c>
      <c r="I31" s="17">
        <f>H31*G31*F31</f>
        <v>16000</v>
      </c>
      <c r="J31" s="42">
        <v>44</v>
      </c>
      <c r="K31" s="53">
        <f>H31/J31</f>
        <v>0.90909090909090906</v>
      </c>
      <c r="L31" s="20">
        <f>F31*K31</f>
        <v>0.45454545454545453</v>
      </c>
      <c r="M31" s="52" t="s">
        <v>38</v>
      </c>
    </row>
    <row r="32" spans="1:13" ht="18.75">
      <c r="A32" s="762" t="s">
        <v>42</v>
      </c>
      <c r="B32" s="762"/>
      <c r="C32" s="762"/>
      <c r="D32" s="12"/>
      <c r="E32" s="12"/>
      <c r="F32" s="12"/>
      <c r="G32" s="12"/>
      <c r="H32" s="25">
        <f>SUM(H23:H31)</f>
        <v>23768.333333333332</v>
      </c>
      <c r="I32" s="25">
        <f>SUM(I23:I31)</f>
        <v>13719500</v>
      </c>
      <c r="J32" s="25"/>
      <c r="K32" s="25">
        <f>SUM(K23:K31)</f>
        <v>540.18939393939399</v>
      </c>
      <c r="L32" s="26"/>
      <c r="M32" s="26"/>
    </row>
    <row r="33" spans="1:13" ht="42.75" customHeight="1">
      <c r="A33" s="803" t="s">
        <v>63</v>
      </c>
      <c r="B33" s="803"/>
      <c r="C33" s="803"/>
      <c r="D33" s="50"/>
      <c r="E33" s="50"/>
      <c r="F33" s="50"/>
      <c r="G33" s="50"/>
      <c r="H33" s="28">
        <f>SUM(H20+H32+H13)</f>
        <v>84038.333333333328</v>
      </c>
      <c r="I33" s="28">
        <f>SUM(I20+I32+I13)</f>
        <v>37827500</v>
      </c>
      <c r="J33" s="28"/>
      <c r="K33" s="28">
        <f>SUM(K20+K32+K13)</f>
        <v>1453.371212121212</v>
      </c>
      <c r="L33" s="28"/>
      <c r="M33" s="50"/>
    </row>
    <row r="34" spans="1:13" s="40" customFormat="1" ht="39" customHeight="1">
      <c r="A34" s="783" t="s">
        <v>43</v>
      </c>
      <c r="B34" s="783"/>
      <c r="C34" s="804" t="s">
        <v>82</v>
      </c>
      <c r="D34" s="804"/>
      <c r="E34" s="804"/>
      <c r="F34" s="804"/>
      <c r="G34" s="805" t="s">
        <v>44</v>
      </c>
      <c r="H34" s="805"/>
      <c r="I34" s="801" t="s">
        <v>87</v>
      </c>
      <c r="J34" s="802"/>
      <c r="K34" s="802"/>
      <c r="L34" s="38"/>
      <c r="M34" s="39"/>
    </row>
    <row r="35" spans="1:13" s="40" customFormat="1" ht="39" customHeight="1">
      <c r="A35" s="788" t="s">
        <v>89</v>
      </c>
      <c r="B35" s="788"/>
      <c r="C35" s="788"/>
      <c r="D35" s="46"/>
      <c r="E35" s="46"/>
      <c r="F35" s="46"/>
      <c r="G35" s="51"/>
      <c r="H35" s="51"/>
      <c r="I35" s="45"/>
      <c r="J35" s="45"/>
      <c r="K35" s="45"/>
      <c r="L35" s="38"/>
      <c r="M35" s="39"/>
    </row>
    <row r="36" spans="1:13" s="40" customFormat="1" ht="41.25" customHeight="1">
      <c r="A36" s="788" t="s">
        <v>45</v>
      </c>
      <c r="B36" s="788"/>
      <c r="C36" s="788"/>
      <c r="D36" s="789" t="s">
        <v>46</v>
      </c>
      <c r="E36" s="789"/>
      <c r="F36" s="786" t="s">
        <v>47</v>
      </c>
      <c r="G36" s="786"/>
      <c r="H36" s="786" t="s">
        <v>48</v>
      </c>
      <c r="I36" s="786"/>
      <c r="J36" s="774" t="s">
        <v>49</v>
      </c>
      <c r="K36" s="774"/>
      <c r="L36" s="38"/>
      <c r="M36" s="39"/>
    </row>
    <row r="37" spans="1:13" s="40" customFormat="1" ht="18.75" customHeight="1">
      <c r="A37" s="787" t="s">
        <v>50</v>
      </c>
      <c r="B37" s="787"/>
      <c r="C37" s="787"/>
      <c r="D37" s="785" t="s">
        <v>51</v>
      </c>
      <c r="E37" s="785"/>
      <c r="F37" s="785" t="s">
        <v>52</v>
      </c>
      <c r="G37" s="785"/>
      <c r="H37" s="785" t="s">
        <v>53</v>
      </c>
      <c r="I37" s="785"/>
      <c r="J37" s="785" t="s">
        <v>54</v>
      </c>
      <c r="K37" s="785"/>
      <c r="L37" s="785" t="s">
        <v>81</v>
      </c>
      <c r="M37" s="785"/>
    </row>
  </sheetData>
  <mergeCells count="49">
    <mergeCell ref="B6:C6"/>
    <mergeCell ref="A1:M1"/>
    <mergeCell ref="A2:M2"/>
    <mergeCell ref="A3:M3"/>
    <mergeCell ref="B4:C4"/>
    <mergeCell ref="B5:C5"/>
    <mergeCell ref="B18:C18"/>
    <mergeCell ref="B7:C7"/>
    <mergeCell ref="B8:C8"/>
    <mergeCell ref="B9:C9"/>
    <mergeCell ref="B10:C10"/>
    <mergeCell ref="B11:C11"/>
    <mergeCell ref="B12:C12"/>
    <mergeCell ref="A13:C13"/>
    <mergeCell ref="A14:M14"/>
    <mergeCell ref="B15:C15"/>
    <mergeCell ref="B16:C16"/>
    <mergeCell ref="B17:C17"/>
    <mergeCell ref="B31:C31"/>
    <mergeCell ref="B19:C19"/>
    <mergeCell ref="A20:C20"/>
    <mergeCell ref="A21:M21"/>
    <mergeCell ref="B22:C22"/>
    <mergeCell ref="B23:C23"/>
    <mergeCell ref="B25:C25"/>
    <mergeCell ref="B26:C26"/>
    <mergeCell ref="B27:C27"/>
    <mergeCell ref="B28:C28"/>
    <mergeCell ref="B29:C29"/>
    <mergeCell ref="B30:C30"/>
    <mergeCell ref="B24:C24"/>
    <mergeCell ref="I34:K34"/>
    <mergeCell ref="A35:C35"/>
    <mergeCell ref="A32:C32"/>
    <mergeCell ref="A33:C33"/>
    <mergeCell ref="A34:B34"/>
    <mergeCell ref="C34:F34"/>
    <mergeCell ref="G34:H34"/>
    <mergeCell ref="L37:M37"/>
    <mergeCell ref="J36:K36"/>
    <mergeCell ref="A37:C37"/>
    <mergeCell ref="D37:E37"/>
    <mergeCell ref="F37:G37"/>
    <mergeCell ref="H37:I37"/>
    <mergeCell ref="J37:K37"/>
    <mergeCell ref="A36:C36"/>
    <mergeCell ref="D36:E36"/>
    <mergeCell ref="F36:G36"/>
    <mergeCell ref="H36:I36"/>
  </mergeCells>
  <pageMargins left="0.7" right="0.7" top="0.75" bottom="0.75" header="0.3" footer="0.3"/>
  <pageSetup paperSize="9" scale="43" fitToWidth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50"/>
    <pageSetUpPr fitToPage="1"/>
  </sheetPr>
  <dimension ref="A1:M37"/>
  <sheetViews>
    <sheetView rightToLeft="1" view="pageBreakPreview" zoomScale="70" zoomScaleSheetLayoutView="70" workbookViewId="0">
      <selection activeCell="B25" sqref="B25:C25"/>
    </sheetView>
  </sheetViews>
  <sheetFormatPr defaultRowHeight="15"/>
  <cols>
    <col min="2" max="2" width="9.125" customWidth="1"/>
    <col min="3" max="3" width="37.875" customWidth="1"/>
    <col min="4" max="4" width="14.125" customWidth="1"/>
    <col min="5" max="5" width="13" customWidth="1"/>
    <col min="6" max="6" width="13.25" customWidth="1"/>
    <col min="7" max="7" width="14" customWidth="1"/>
    <col min="8" max="8" width="15.125" customWidth="1"/>
    <col min="9" max="9" width="17.375" customWidth="1"/>
    <col min="10" max="11" width="14.125" customWidth="1"/>
    <col min="12" max="12" width="16.875" customWidth="1"/>
    <col min="13" max="13" width="27.875" customWidth="1"/>
  </cols>
  <sheetData>
    <row r="1" spans="1:13" ht="54.75" customHeight="1">
      <c r="A1" s="795" t="s">
        <v>125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  <c r="L1" s="795"/>
      <c r="M1" s="795"/>
    </row>
    <row r="2" spans="1:13" ht="18.75">
      <c r="A2" s="796" t="s">
        <v>0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</row>
    <row r="3" spans="1:13" ht="20.25">
      <c r="A3" s="792" t="s">
        <v>126</v>
      </c>
      <c r="B3" s="792"/>
      <c r="C3" s="792"/>
      <c r="D3" s="792"/>
      <c r="E3" s="792"/>
      <c r="F3" s="792"/>
      <c r="G3" s="792"/>
      <c r="H3" s="792"/>
      <c r="I3" s="792"/>
      <c r="J3" s="792"/>
      <c r="K3" s="792"/>
      <c r="L3" s="792"/>
      <c r="M3" s="792"/>
    </row>
    <row r="4" spans="1:13" ht="39" customHeight="1">
      <c r="A4" s="1" t="s">
        <v>1</v>
      </c>
      <c r="B4" s="793" t="s">
        <v>2</v>
      </c>
      <c r="C4" s="793"/>
      <c r="D4" s="47" t="s">
        <v>3</v>
      </c>
      <c r="E4" s="47" t="s">
        <v>4</v>
      </c>
      <c r="F4" s="47" t="s">
        <v>5</v>
      </c>
      <c r="G4" s="47" t="s">
        <v>6</v>
      </c>
      <c r="H4" s="47" t="s">
        <v>7</v>
      </c>
      <c r="I4" s="47" t="s">
        <v>8</v>
      </c>
      <c r="J4" s="47" t="s">
        <v>9</v>
      </c>
      <c r="K4" s="47" t="s">
        <v>10</v>
      </c>
      <c r="L4" s="47" t="s">
        <v>11</v>
      </c>
      <c r="M4" s="49" t="s">
        <v>12</v>
      </c>
    </row>
    <row r="5" spans="1:13" ht="26.25" customHeight="1">
      <c r="A5" s="4">
        <v>1</v>
      </c>
      <c r="B5" s="791" t="s">
        <v>108</v>
      </c>
      <c r="C5" s="791"/>
      <c r="D5" s="53" t="s">
        <v>14</v>
      </c>
      <c r="E5" s="53">
        <f>E6*1.5</f>
        <v>99960</v>
      </c>
      <c r="F5" s="53">
        <v>10</v>
      </c>
      <c r="G5" s="53">
        <f t="shared" ref="G5:G12" si="0">400/F5</f>
        <v>40</v>
      </c>
      <c r="H5" s="53">
        <f t="shared" ref="H5:H12" si="1">E5/F5</f>
        <v>9996</v>
      </c>
      <c r="I5" s="53">
        <f t="shared" ref="I5:I10" si="2">H5*G5*F5</f>
        <v>3998400</v>
      </c>
      <c r="J5" s="53">
        <v>66</v>
      </c>
      <c r="K5" s="53">
        <f t="shared" ref="K5:K10" si="3">H5/J5</f>
        <v>151.45454545454547</v>
      </c>
      <c r="L5" s="53">
        <f t="shared" ref="L5:L10" si="4">K5*F5</f>
        <v>1514.5454545454547</v>
      </c>
      <c r="M5" s="6" t="s">
        <v>15</v>
      </c>
    </row>
    <row r="6" spans="1:13" ht="26.25" customHeight="1">
      <c r="A6" s="4">
        <v>2</v>
      </c>
      <c r="B6" s="791" t="s">
        <v>97</v>
      </c>
      <c r="C6" s="791"/>
      <c r="D6" s="53" t="s">
        <v>17</v>
      </c>
      <c r="E6" s="53">
        <f>1666*40</f>
        <v>66640</v>
      </c>
      <c r="F6" s="53">
        <v>10</v>
      </c>
      <c r="G6" s="53">
        <f t="shared" si="0"/>
        <v>40</v>
      </c>
      <c r="H6" s="53">
        <f t="shared" si="1"/>
        <v>6664</v>
      </c>
      <c r="I6" s="53">
        <f t="shared" si="2"/>
        <v>2665600</v>
      </c>
      <c r="J6" s="53">
        <v>66</v>
      </c>
      <c r="K6" s="53">
        <f t="shared" si="3"/>
        <v>100.96969696969697</v>
      </c>
      <c r="L6" s="53">
        <f t="shared" si="4"/>
        <v>1009.6969696969697</v>
      </c>
      <c r="M6" s="6" t="s">
        <v>15</v>
      </c>
    </row>
    <row r="7" spans="1:13" ht="33" customHeight="1">
      <c r="A7" s="4">
        <v>3</v>
      </c>
      <c r="B7" s="781" t="s">
        <v>106</v>
      </c>
      <c r="C7" s="781"/>
      <c r="D7" s="7" t="s">
        <v>14</v>
      </c>
      <c r="E7" s="53">
        <f>(20*216*10)</f>
        <v>43200</v>
      </c>
      <c r="F7" s="53">
        <v>10</v>
      </c>
      <c r="G7" s="53">
        <f t="shared" si="0"/>
        <v>40</v>
      </c>
      <c r="H7" s="53">
        <f t="shared" si="1"/>
        <v>4320</v>
      </c>
      <c r="I7" s="53">
        <f t="shared" si="2"/>
        <v>1728000</v>
      </c>
      <c r="J7" s="53">
        <v>66</v>
      </c>
      <c r="K7" s="53">
        <f t="shared" si="3"/>
        <v>65.454545454545453</v>
      </c>
      <c r="L7" s="53">
        <f t="shared" si="4"/>
        <v>654.5454545454545</v>
      </c>
      <c r="M7" s="6" t="s">
        <v>15</v>
      </c>
    </row>
    <row r="8" spans="1:13" ht="33.75" customHeight="1">
      <c r="A8" s="4">
        <v>4</v>
      </c>
      <c r="B8" s="781" t="s">
        <v>91</v>
      </c>
      <c r="C8" s="781"/>
      <c r="D8" s="53" t="s">
        <v>17</v>
      </c>
      <c r="E8" s="53">
        <f>(20*216*3)</f>
        <v>12960</v>
      </c>
      <c r="F8" s="53">
        <v>10</v>
      </c>
      <c r="G8" s="53">
        <f t="shared" si="0"/>
        <v>40</v>
      </c>
      <c r="H8" s="53">
        <f t="shared" si="1"/>
        <v>1296</v>
      </c>
      <c r="I8" s="53">
        <f t="shared" si="2"/>
        <v>518400</v>
      </c>
      <c r="J8" s="53">
        <v>66</v>
      </c>
      <c r="K8" s="53">
        <f t="shared" si="3"/>
        <v>19.636363636363637</v>
      </c>
      <c r="L8" s="53">
        <f t="shared" si="4"/>
        <v>196.36363636363637</v>
      </c>
      <c r="M8" s="6" t="s">
        <v>15</v>
      </c>
    </row>
    <row r="9" spans="1:13" ht="26.25" customHeight="1">
      <c r="A9" s="4">
        <v>5</v>
      </c>
      <c r="B9" s="808" t="s">
        <v>109</v>
      </c>
      <c r="C9" s="809"/>
      <c r="D9" s="8" t="s">
        <v>20</v>
      </c>
      <c r="E9" s="53">
        <f>3*3*1000</f>
        <v>9000</v>
      </c>
      <c r="F9" s="53">
        <v>3</v>
      </c>
      <c r="G9" s="53">
        <f t="shared" si="0"/>
        <v>133.33333333333334</v>
      </c>
      <c r="H9" s="53">
        <f t="shared" si="1"/>
        <v>3000</v>
      </c>
      <c r="I9" s="53">
        <f t="shared" si="2"/>
        <v>1200000</v>
      </c>
      <c r="J9" s="53">
        <v>66</v>
      </c>
      <c r="K9" s="53">
        <f t="shared" si="3"/>
        <v>45.454545454545453</v>
      </c>
      <c r="L9" s="53">
        <f t="shared" si="4"/>
        <v>136.36363636363637</v>
      </c>
      <c r="M9" s="6" t="s">
        <v>15</v>
      </c>
    </row>
    <row r="10" spans="1:13" ht="26.25" customHeight="1">
      <c r="A10" s="4">
        <v>6</v>
      </c>
      <c r="B10" s="797" t="s">
        <v>21</v>
      </c>
      <c r="C10" s="797"/>
      <c r="D10" s="9" t="s">
        <v>22</v>
      </c>
      <c r="E10" s="10">
        <v>500</v>
      </c>
      <c r="F10" s="10">
        <v>1</v>
      </c>
      <c r="G10" s="10">
        <f t="shared" si="0"/>
        <v>400</v>
      </c>
      <c r="H10" s="10">
        <f t="shared" si="1"/>
        <v>500</v>
      </c>
      <c r="I10" s="10">
        <f t="shared" si="2"/>
        <v>200000</v>
      </c>
      <c r="J10" s="53">
        <v>66</v>
      </c>
      <c r="K10" s="53">
        <f t="shared" si="3"/>
        <v>7.5757575757575761</v>
      </c>
      <c r="L10" s="53">
        <f t="shared" si="4"/>
        <v>7.5757575757575761</v>
      </c>
      <c r="M10" s="6" t="s">
        <v>15</v>
      </c>
    </row>
    <row r="11" spans="1:13" ht="36" customHeight="1">
      <c r="A11" s="4">
        <v>7</v>
      </c>
      <c r="B11" s="806" t="s">
        <v>23</v>
      </c>
      <c r="C11" s="807"/>
      <c r="D11" s="53" t="s">
        <v>24</v>
      </c>
      <c r="E11" s="53">
        <v>4000</v>
      </c>
      <c r="F11" s="53">
        <v>50</v>
      </c>
      <c r="G11" s="53">
        <f t="shared" si="0"/>
        <v>8</v>
      </c>
      <c r="H11" s="53">
        <f t="shared" si="1"/>
        <v>80</v>
      </c>
      <c r="I11" s="53">
        <f>(H11*G11*F11)</f>
        <v>32000</v>
      </c>
      <c r="J11" s="53">
        <v>66</v>
      </c>
      <c r="K11" s="53">
        <f>(H11/J11)</f>
        <v>1.2121212121212122</v>
      </c>
      <c r="L11" s="53">
        <f>(K11*F11)</f>
        <v>60.606060606060609</v>
      </c>
      <c r="M11" s="6" t="s">
        <v>15</v>
      </c>
    </row>
    <row r="12" spans="1:13" ht="26.25" customHeight="1">
      <c r="A12" s="4">
        <v>8</v>
      </c>
      <c r="B12" s="798" t="s">
        <v>25</v>
      </c>
      <c r="C12" s="799"/>
      <c r="D12" s="53" t="s">
        <v>26</v>
      </c>
      <c r="E12" s="53">
        <v>200000</v>
      </c>
      <c r="F12" s="53">
        <v>200</v>
      </c>
      <c r="G12" s="53">
        <f t="shared" si="0"/>
        <v>2</v>
      </c>
      <c r="H12" s="53">
        <f t="shared" si="1"/>
        <v>1000</v>
      </c>
      <c r="I12" s="53">
        <f>(H12*G12*F12)</f>
        <v>400000</v>
      </c>
      <c r="J12" s="53">
        <v>66</v>
      </c>
      <c r="K12" s="53">
        <f>(H12/J12)</f>
        <v>15.151515151515152</v>
      </c>
      <c r="L12" s="53">
        <f>(K12*F12)</f>
        <v>3030.3030303030305</v>
      </c>
      <c r="M12" s="6" t="s">
        <v>15</v>
      </c>
    </row>
    <row r="13" spans="1:13" ht="18.75">
      <c r="A13" s="758" t="s">
        <v>27</v>
      </c>
      <c r="B13" s="758"/>
      <c r="C13" s="758"/>
      <c r="D13" s="11"/>
      <c r="E13" s="12"/>
      <c r="F13" s="12">
        <v>0</v>
      </c>
      <c r="G13" s="12">
        <v>0</v>
      </c>
      <c r="H13" s="48">
        <f>SUM(H5:H12)</f>
        <v>26856</v>
      </c>
      <c r="I13" s="48">
        <f>SUM(I5:I12)</f>
        <v>10742400</v>
      </c>
      <c r="J13" s="48"/>
      <c r="K13" s="48">
        <f>SUM(K5:K12)</f>
        <v>406.90909090909082</v>
      </c>
      <c r="L13" s="14"/>
      <c r="M13" s="14"/>
    </row>
    <row r="14" spans="1:13" ht="20.25">
      <c r="A14" s="792" t="s">
        <v>130</v>
      </c>
      <c r="B14" s="792"/>
      <c r="C14" s="792"/>
      <c r="D14" s="792"/>
      <c r="E14" s="792"/>
      <c r="F14" s="792"/>
      <c r="G14" s="792"/>
      <c r="H14" s="792"/>
      <c r="I14" s="792"/>
      <c r="J14" s="792"/>
      <c r="K14" s="792"/>
      <c r="L14" s="792"/>
      <c r="M14" s="792"/>
    </row>
    <row r="15" spans="1:13" ht="38.25" customHeight="1">
      <c r="A15" s="1" t="s">
        <v>1</v>
      </c>
      <c r="B15" s="793" t="s">
        <v>2</v>
      </c>
      <c r="C15" s="793"/>
      <c r="D15" s="47" t="s">
        <v>3</v>
      </c>
      <c r="E15" s="47" t="s">
        <v>4</v>
      </c>
      <c r="F15" s="47" t="s">
        <v>5</v>
      </c>
      <c r="G15" s="47" t="s">
        <v>6</v>
      </c>
      <c r="H15" s="47" t="s">
        <v>7</v>
      </c>
      <c r="I15" s="47" t="s">
        <v>8</v>
      </c>
      <c r="J15" s="47" t="s">
        <v>9</v>
      </c>
      <c r="K15" s="47" t="s">
        <v>10</v>
      </c>
      <c r="L15" s="47" t="s">
        <v>11</v>
      </c>
      <c r="M15" s="49" t="s">
        <v>12</v>
      </c>
    </row>
    <row r="16" spans="1:13" ht="27.75" customHeight="1">
      <c r="A16" s="4">
        <v>1</v>
      </c>
      <c r="B16" s="791" t="s">
        <v>13</v>
      </c>
      <c r="C16" s="791"/>
      <c r="D16" s="53" t="s">
        <v>14</v>
      </c>
      <c r="E16" s="53">
        <f>E17*1.5</f>
        <v>99960</v>
      </c>
      <c r="F16" s="53">
        <v>10</v>
      </c>
      <c r="G16" s="53">
        <f>400/F16</f>
        <v>40</v>
      </c>
      <c r="H16" s="53">
        <f>E16/F16</f>
        <v>9996</v>
      </c>
      <c r="I16" s="53">
        <f>H16*G16*F16</f>
        <v>3998400</v>
      </c>
      <c r="J16" s="53">
        <v>66</v>
      </c>
      <c r="K16" s="53">
        <f>H16/J16</f>
        <v>151.45454545454547</v>
      </c>
      <c r="L16" s="53">
        <f>K16*F16</f>
        <v>1514.5454545454547</v>
      </c>
      <c r="M16" s="52" t="s">
        <v>29</v>
      </c>
    </row>
    <row r="17" spans="1:13" ht="27.75" customHeight="1">
      <c r="A17" s="4">
        <v>2</v>
      </c>
      <c r="B17" s="791" t="s">
        <v>97</v>
      </c>
      <c r="C17" s="791"/>
      <c r="D17" s="53" t="s">
        <v>17</v>
      </c>
      <c r="E17" s="53">
        <f>1666*40</f>
        <v>66640</v>
      </c>
      <c r="F17" s="53">
        <v>10</v>
      </c>
      <c r="G17" s="53">
        <f>400/F17</f>
        <v>40</v>
      </c>
      <c r="H17" s="53">
        <f>E17/F17</f>
        <v>6664</v>
      </c>
      <c r="I17" s="53">
        <f>H17*G17*F17</f>
        <v>2665600</v>
      </c>
      <c r="J17" s="53">
        <v>66</v>
      </c>
      <c r="K17" s="53">
        <f>H17/J17</f>
        <v>100.96969696969697</v>
      </c>
      <c r="L17" s="53">
        <f>K17*F17</f>
        <v>1009.6969696969697</v>
      </c>
      <c r="M17" s="52" t="s">
        <v>29</v>
      </c>
    </row>
    <row r="18" spans="1:13" ht="34.5" customHeight="1">
      <c r="A18" s="4">
        <v>3</v>
      </c>
      <c r="B18" s="781" t="s">
        <v>90</v>
      </c>
      <c r="C18" s="781"/>
      <c r="D18" s="7" t="s">
        <v>14</v>
      </c>
      <c r="E18" s="53">
        <f>(20*216*10)</f>
        <v>43200</v>
      </c>
      <c r="F18" s="53">
        <v>10</v>
      </c>
      <c r="G18" s="53">
        <f>400/F18</f>
        <v>40</v>
      </c>
      <c r="H18" s="53">
        <f>E18/F18</f>
        <v>4320</v>
      </c>
      <c r="I18" s="53">
        <f>H18*G18*F18</f>
        <v>1728000</v>
      </c>
      <c r="J18" s="53">
        <v>66</v>
      </c>
      <c r="K18" s="53">
        <f>H18/J18</f>
        <v>65.454545454545453</v>
      </c>
      <c r="L18" s="53">
        <f>K18*F18</f>
        <v>654.5454545454545</v>
      </c>
      <c r="M18" s="52" t="s">
        <v>29</v>
      </c>
    </row>
    <row r="19" spans="1:13" ht="27.75" customHeight="1">
      <c r="A19" s="4">
        <v>4</v>
      </c>
      <c r="B19" s="781" t="s">
        <v>91</v>
      </c>
      <c r="C19" s="781"/>
      <c r="D19" s="53" t="s">
        <v>17</v>
      </c>
      <c r="E19" s="53">
        <f>(20*216*3)</f>
        <v>12960</v>
      </c>
      <c r="F19" s="53">
        <v>10</v>
      </c>
      <c r="G19" s="53">
        <f>400/F19</f>
        <v>40</v>
      </c>
      <c r="H19" s="53">
        <f>E19/F19</f>
        <v>1296</v>
      </c>
      <c r="I19" s="53">
        <f>H19*G19*F19</f>
        <v>518400</v>
      </c>
      <c r="J19" s="53">
        <v>66</v>
      </c>
      <c r="K19" s="53">
        <f>H19/J19</f>
        <v>19.636363636363637</v>
      </c>
      <c r="L19" s="53">
        <f>K19*F19</f>
        <v>196.36363636363637</v>
      </c>
      <c r="M19" s="52" t="s">
        <v>29</v>
      </c>
    </row>
    <row r="20" spans="1:13" ht="27.75" customHeight="1">
      <c r="A20" s="758" t="s">
        <v>27</v>
      </c>
      <c r="B20" s="758"/>
      <c r="C20" s="758"/>
      <c r="D20" s="11"/>
      <c r="E20" s="12"/>
      <c r="F20" s="12">
        <v>0</v>
      </c>
      <c r="G20" s="12">
        <v>0</v>
      </c>
      <c r="H20" s="48">
        <f>SUM(H16:H19)</f>
        <v>22276</v>
      </c>
      <c r="I20" s="48">
        <f>SUM(I16:I19)</f>
        <v>8910400</v>
      </c>
      <c r="J20" s="48"/>
      <c r="K20" s="48">
        <f>SUM(K16:K19)</f>
        <v>337.5151515151515</v>
      </c>
      <c r="L20" s="14"/>
      <c r="M20" s="14"/>
    </row>
    <row r="21" spans="1:13" ht="27.75" customHeight="1">
      <c r="A21" s="792" t="s">
        <v>129</v>
      </c>
      <c r="B21" s="792"/>
      <c r="C21" s="792"/>
      <c r="D21" s="792"/>
      <c r="E21" s="792"/>
      <c r="F21" s="792"/>
      <c r="G21" s="792"/>
      <c r="H21" s="792"/>
      <c r="I21" s="792"/>
      <c r="J21" s="792"/>
      <c r="K21" s="792"/>
      <c r="L21" s="792"/>
      <c r="M21" s="792"/>
    </row>
    <row r="22" spans="1:13" ht="42" customHeight="1">
      <c r="A22" s="16" t="s">
        <v>1</v>
      </c>
      <c r="B22" s="793" t="s">
        <v>30</v>
      </c>
      <c r="C22" s="793"/>
      <c r="D22" s="47" t="s">
        <v>3</v>
      </c>
      <c r="E22" s="47" t="s">
        <v>31</v>
      </c>
      <c r="F22" s="47" t="s">
        <v>5</v>
      </c>
      <c r="G22" s="47" t="s">
        <v>6</v>
      </c>
      <c r="H22" s="47" t="s">
        <v>32</v>
      </c>
      <c r="I22" s="47" t="s">
        <v>8</v>
      </c>
      <c r="J22" s="47" t="s">
        <v>33</v>
      </c>
      <c r="K22" s="47" t="s">
        <v>34</v>
      </c>
      <c r="L22" s="47" t="s">
        <v>35</v>
      </c>
      <c r="M22" s="49" t="s">
        <v>12</v>
      </c>
    </row>
    <row r="23" spans="1:13" ht="28.5" customHeight="1">
      <c r="A23" s="60">
        <v>1</v>
      </c>
      <c r="B23" s="791" t="s">
        <v>142</v>
      </c>
      <c r="C23" s="791"/>
      <c r="D23" s="53" t="s">
        <v>14</v>
      </c>
      <c r="E23" s="53">
        <f>1666*20*1.5</f>
        <v>49980</v>
      </c>
      <c r="F23" s="53">
        <v>10</v>
      </c>
      <c r="G23" s="53">
        <f>400/F23</f>
        <v>40</v>
      </c>
      <c r="H23" s="53">
        <f>E23/F23</f>
        <v>4998</v>
      </c>
      <c r="I23" s="53">
        <f>H23*G23*F23</f>
        <v>1999200</v>
      </c>
      <c r="J23" s="53">
        <v>44</v>
      </c>
      <c r="K23" s="53">
        <f t="shared" ref="K23:K28" si="5">H23/J23</f>
        <v>113.59090909090909</v>
      </c>
      <c r="L23" s="53">
        <f>K23*F23</f>
        <v>1135.909090909091</v>
      </c>
      <c r="M23" s="52" t="s">
        <v>29</v>
      </c>
    </row>
    <row r="24" spans="1:13" ht="27.75" customHeight="1">
      <c r="A24" s="60"/>
      <c r="B24" s="810" t="s">
        <v>144</v>
      </c>
      <c r="C24" s="811"/>
      <c r="D24" s="53" t="s">
        <v>17</v>
      </c>
      <c r="E24" s="53">
        <f>20*1666</f>
        <v>33320</v>
      </c>
      <c r="F24" s="53">
        <v>10</v>
      </c>
      <c r="G24" s="53">
        <v>40</v>
      </c>
      <c r="H24" s="53">
        <f>E24/F24</f>
        <v>3332</v>
      </c>
      <c r="I24" s="53">
        <f>H24*G24*F24</f>
        <v>1332800</v>
      </c>
      <c r="J24" s="53">
        <v>44</v>
      </c>
      <c r="K24" s="53">
        <f t="shared" si="5"/>
        <v>75.727272727272734</v>
      </c>
      <c r="L24" s="53">
        <f>K24*F24</f>
        <v>757.27272727272737</v>
      </c>
      <c r="M24" s="52"/>
    </row>
    <row r="25" spans="1:13" ht="33" customHeight="1">
      <c r="A25" s="60">
        <v>2</v>
      </c>
      <c r="B25" s="781" t="s">
        <v>127</v>
      </c>
      <c r="C25" s="781"/>
      <c r="D25" s="7" t="s">
        <v>14</v>
      </c>
      <c r="E25" s="53">
        <f>(11*216*10)</f>
        <v>23760</v>
      </c>
      <c r="F25" s="53">
        <v>10</v>
      </c>
      <c r="G25" s="53">
        <f>400/F25</f>
        <v>40</v>
      </c>
      <c r="H25" s="53">
        <f>E25/F25</f>
        <v>2376</v>
      </c>
      <c r="I25" s="53">
        <f>H25*G25*F25</f>
        <v>950400</v>
      </c>
      <c r="J25" s="53">
        <v>44</v>
      </c>
      <c r="K25" s="53">
        <f t="shared" si="5"/>
        <v>54</v>
      </c>
      <c r="L25" s="53">
        <f>K25*F25</f>
        <v>540</v>
      </c>
      <c r="M25" s="52" t="s">
        <v>29</v>
      </c>
    </row>
    <row r="26" spans="1:13" ht="31.5" customHeight="1">
      <c r="A26" s="60">
        <v>3</v>
      </c>
      <c r="B26" s="790" t="s">
        <v>39</v>
      </c>
      <c r="C26" s="790"/>
      <c r="D26" s="21" t="s">
        <v>40</v>
      </c>
      <c r="E26" s="42">
        <v>10</v>
      </c>
      <c r="F26" s="42">
        <v>20</v>
      </c>
      <c r="G26" s="42">
        <f>400/F26</f>
        <v>20</v>
      </c>
      <c r="H26" s="42">
        <f>E26*22</f>
        <v>220</v>
      </c>
      <c r="I26" s="42">
        <f>H26*G26*F26</f>
        <v>88000</v>
      </c>
      <c r="J26" s="42">
        <v>44</v>
      </c>
      <c r="K26" s="53">
        <f t="shared" si="5"/>
        <v>5</v>
      </c>
      <c r="L26" s="20">
        <f>F26*K26</f>
        <v>100</v>
      </c>
      <c r="M26" s="52" t="s">
        <v>38</v>
      </c>
    </row>
    <row r="27" spans="1:13" ht="31.5" customHeight="1">
      <c r="A27" s="60">
        <v>4</v>
      </c>
      <c r="B27" s="791" t="s">
        <v>100</v>
      </c>
      <c r="C27" s="791"/>
      <c r="D27" s="17" t="s">
        <v>37</v>
      </c>
      <c r="E27" s="17">
        <f>E19+E17+E8+E6</f>
        <v>159200</v>
      </c>
      <c r="F27" s="17">
        <v>40</v>
      </c>
      <c r="G27" s="17">
        <f>400/F27</f>
        <v>10</v>
      </c>
      <c r="H27" s="18">
        <f>E27/F27</f>
        <v>3980</v>
      </c>
      <c r="I27" s="42">
        <f>H27*G27*F27</f>
        <v>1592000</v>
      </c>
      <c r="J27" s="42">
        <v>44</v>
      </c>
      <c r="K27" s="53">
        <f t="shared" si="5"/>
        <v>90.454545454545453</v>
      </c>
      <c r="L27" s="20">
        <f>F27*K27</f>
        <v>3618.181818181818</v>
      </c>
      <c r="M27" s="52" t="s">
        <v>38</v>
      </c>
    </row>
    <row r="28" spans="1:13" ht="31.5" customHeight="1">
      <c r="A28" s="60">
        <v>6</v>
      </c>
      <c r="B28" s="791" t="s">
        <v>101</v>
      </c>
      <c r="C28" s="791"/>
      <c r="D28" s="17" t="s">
        <v>37</v>
      </c>
      <c r="E28" s="17">
        <f>E19+E17+E8+E6</f>
        <v>159200</v>
      </c>
      <c r="F28" s="17">
        <v>120</v>
      </c>
      <c r="G28" s="17">
        <f>400/F28</f>
        <v>3.3333333333333335</v>
      </c>
      <c r="H28" s="18">
        <f>E28/F28</f>
        <v>1326.6666666666667</v>
      </c>
      <c r="I28" s="42">
        <f>H28*G28*F28*6</f>
        <v>3184000.0000000005</v>
      </c>
      <c r="J28" s="42">
        <v>44</v>
      </c>
      <c r="K28" s="53">
        <f t="shared" si="5"/>
        <v>30.151515151515152</v>
      </c>
      <c r="L28" s="20">
        <f>F28*K28</f>
        <v>3618.1818181818185</v>
      </c>
      <c r="M28" s="52" t="s">
        <v>38</v>
      </c>
    </row>
    <row r="29" spans="1:13" ht="23.25" customHeight="1">
      <c r="A29" s="60">
        <v>5</v>
      </c>
      <c r="B29" s="800" t="s">
        <v>84</v>
      </c>
      <c r="C29" s="800"/>
      <c r="D29" s="54" t="s">
        <v>85</v>
      </c>
      <c r="E29" s="58">
        <f>E28*15</f>
        <v>2388000</v>
      </c>
      <c r="F29" s="55"/>
      <c r="G29" s="56">
        <v>0.3</v>
      </c>
      <c r="H29" s="55"/>
      <c r="I29" s="58">
        <f>G29*E29</f>
        <v>716400</v>
      </c>
      <c r="J29" s="53">
        <v>66</v>
      </c>
      <c r="K29" s="53"/>
      <c r="L29" s="20"/>
      <c r="M29" s="52" t="s">
        <v>38</v>
      </c>
    </row>
    <row r="30" spans="1:13" ht="31.5" customHeight="1">
      <c r="A30" s="60">
        <v>7</v>
      </c>
      <c r="B30" s="791" t="s">
        <v>113</v>
      </c>
      <c r="C30" s="791"/>
      <c r="D30" s="17" t="s">
        <v>41</v>
      </c>
      <c r="E30" s="22">
        <v>20</v>
      </c>
      <c r="F30" s="23">
        <v>0.5</v>
      </c>
      <c r="G30" s="17">
        <f>400/F30</f>
        <v>800</v>
      </c>
      <c r="H30" s="18">
        <f>E30/F30</f>
        <v>40</v>
      </c>
      <c r="I30" s="42">
        <f>H30*G30*F30</f>
        <v>16000</v>
      </c>
      <c r="J30" s="42">
        <v>44</v>
      </c>
      <c r="K30" s="53">
        <f>H30/J30</f>
        <v>0.90909090909090906</v>
      </c>
      <c r="L30" s="61">
        <f>F30*K30</f>
        <v>0.45454545454545453</v>
      </c>
      <c r="M30" s="52" t="s">
        <v>38</v>
      </c>
    </row>
    <row r="31" spans="1:13" ht="31.5" customHeight="1">
      <c r="A31" s="60">
        <v>8</v>
      </c>
      <c r="B31" s="781" t="s">
        <v>128</v>
      </c>
      <c r="C31" s="781"/>
      <c r="D31" s="17" t="s">
        <v>41</v>
      </c>
      <c r="E31" s="17">
        <v>11</v>
      </c>
      <c r="F31" s="23">
        <v>0.5</v>
      </c>
      <c r="G31" s="17">
        <f>400/F31</f>
        <v>800</v>
      </c>
      <c r="H31" s="18">
        <f>E31/F31</f>
        <v>22</v>
      </c>
      <c r="I31" s="17">
        <f>H31*G31*F31</f>
        <v>8800</v>
      </c>
      <c r="J31" s="42">
        <v>44</v>
      </c>
      <c r="K31" s="53">
        <f>H31/J31</f>
        <v>0.5</v>
      </c>
      <c r="L31" s="61">
        <f>F31*K31</f>
        <v>0.25</v>
      </c>
      <c r="M31" s="52" t="s">
        <v>38</v>
      </c>
    </row>
    <row r="32" spans="1:13" ht="18.75">
      <c r="A32" s="762" t="s">
        <v>42</v>
      </c>
      <c r="B32" s="762"/>
      <c r="C32" s="762"/>
      <c r="D32" s="12"/>
      <c r="E32" s="12"/>
      <c r="F32" s="12"/>
      <c r="G32" s="12"/>
      <c r="H32" s="25">
        <f>SUM(H23:H31)</f>
        <v>16294.666666666666</v>
      </c>
      <c r="I32" s="25">
        <f>SUM(I23:I31)</f>
        <v>9887600</v>
      </c>
      <c r="J32" s="25"/>
      <c r="K32" s="25">
        <f>SUM(K23:K31)</f>
        <v>370.33333333333331</v>
      </c>
      <c r="L32" s="26"/>
      <c r="M32" s="26"/>
    </row>
    <row r="33" spans="1:13" ht="42.75" customHeight="1">
      <c r="A33" s="803" t="s">
        <v>63</v>
      </c>
      <c r="B33" s="803"/>
      <c r="C33" s="803"/>
      <c r="D33" s="50"/>
      <c r="E33" s="50"/>
      <c r="F33" s="50"/>
      <c r="G33" s="50"/>
      <c r="H33" s="28">
        <f>SUM(H20+H32+H13)</f>
        <v>65426.666666666664</v>
      </c>
      <c r="I33" s="28">
        <f>SUM(I20+I32+I13)</f>
        <v>29540400</v>
      </c>
      <c r="J33" s="28"/>
      <c r="K33" s="28">
        <f>SUM(K20+K32+K13)</f>
        <v>1114.7575757575755</v>
      </c>
      <c r="L33" s="28"/>
      <c r="M33" s="50"/>
    </row>
    <row r="34" spans="1:13" s="40" customFormat="1" ht="39" customHeight="1">
      <c r="A34" s="783" t="s">
        <v>43</v>
      </c>
      <c r="B34" s="783"/>
      <c r="C34" s="804" t="s">
        <v>82</v>
      </c>
      <c r="D34" s="804"/>
      <c r="E34" s="804"/>
      <c r="F34" s="804"/>
      <c r="G34" s="805" t="s">
        <v>44</v>
      </c>
      <c r="H34" s="805"/>
      <c r="I34" s="801" t="s">
        <v>87</v>
      </c>
      <c r="J34" s="802"/>
      <c r="K34" s="802"/>
      <c r="L34" s="38"/>
      <c r="M34" s="39"/>
    </row>
    <row r="35" spans="1:13" s="40" customFormat="1" ht="39" customHeight="1">
      <c r="A35" s="788" t="s">
        <v>89</v>
      </c>
      <c r="B35" s="788"/>
      <c r="C35" s="788"/>
      <c r="D35" s="46"/>
      <c r="E35" s="46"/>
      <c r="F35" s="46"/>
      <c r="G35" s="51"/>
      <c r="H35" s="51"/>
      <c r="I35" s="45"/>
      <c r="J35" s="45"/>
      <c r="K35" s="45"/>
      <c r="L35" s="38"/>
      <c r="M35" s="39"/>
    </row>
    <row r="36" spans="1:13" s="40" customFormat="1" ht="41.25" customHeight="1">
      <c r="A36" s="788" t="s">
        <v>45</v>
      </c>
      <c r="B36" s="788"/>
      <c r="C36" s="788"/>
      <c r="D36" s="789" t="s">
        <v>46</v>
      </c>
      <c r="E36" s="789"/>
      <c r="F36" s="786" t="s">
        <v>47</v>
      </c>
      <c r="G36" s="786"/>
      <c r="H36" s="786" t="s">
        <v>48</v>
      </c>
      <c r="I36" s="786"/>
      <c r="J36" s="774" t="s">
        <v>49</v>
      </c>
      <c r="K36" s="774"/>
      <c r="L36" s="38"/>
      <c r="M36" s="39"/>
    </row>
    <row r="37" spans="1:13" s="40" customFormat="1" ht="18.75" customHeight="1">
      <c r="A37" s="787" t="s">
        <v>50</v>
      </c>
      <c r="B37" s="787"/>
      <c r="C37" s="787"/>
      <c r="D37" s="785" t="s">
        <v>51</v>
      </c>
      <c r="E37" s="785"/>
      <c r="F37" s="785" t="s">
        <v>52</v>
      </c>
      <c r="G37" s="785"/>
      <c r="H37" s="785" t="s">
        <v>53</v>
      </c>
      <c r="I37" s="785"/>
      <c r="J37" s="785" t="s">
        <v>54</v>
      </c>
      <c r="K37" s="785"/>
      <c r="L37" s="785" t="s">
        <v>81</v>
      </c>
      <c r="M37" s="785"/>
    </row>
  </sheetData>
  <mergeCells count="49">
    <mergeCell ref="B6:C6"/>
    <mergeCell ref="A1:M1"/>
    <mergeCell ref="A2:M2"/>
    <mergeCell ref="A3:M3"/>
    <mergeCell ref="B4:C4"/>
    <mergeCell ref="B5:C5"/>
    <mergeCell ref="B18:C18"/>
    <mergeCell ref="B7:C7"/>
    <mergeCell ref="B8:C8"/>
    <mergeCell ref="B9:C9"/>
    <mergeCell ref="B10:C10"/>
    <mergeCell ref="B11:C11"/>
    <mergeCell ref="B12:C12"/>
    <mergeCell ref="A13:C13"/>
    <mergeCell ref="A14:M14"/>
    <mergeCell ref="B15:C15"/>
    <mergeCell ref="B16:C16"/>
    <mergeCell ref="B17:C17"/>
    <mergeCell ref="B31:C31"/>
    <mergeCell ref="B19:C19"/>
    <mergeCell ref="A20:C20"/>
    <mergeCell ref="A21:M21"/>
    <mergeCell ref="B22:C22"/>
    <mergeCell ref="B23:C23"/>
    <mergeCell ref="B25:C25"/>
    <mergeCell ref="B26:C26"/>
    <mergeCell ref="B27:C27"/>
    <mergeCell ref="B29:C29"/>
    <mergeCell ref="B28:C28"/>
    <mergeCell ref="B30:C30"/>
    <mergeCell ref="B24:C24"/>
    <mergeCell ref="I34:K34"/>
    <mergeCell ref="A35:C35"/>
    <mergeCell ref="A32:C32"/>
    <mergeCell ref="A33:C33"/>
    <mergeCell ref="A34:B34"/>
    <mergeCell ref="C34:F34"/>
    <mergeCell ref="G34:H34"/>
    <mergeCell ref="L37:M37"/>
    <mergeCell ref="J36:K36"/>
    <mergeCell ref="A37:C37"/>
    <mergeCell ref="D37:E37"/>
    <mergeCell ref="F37:G37"/>
    <mergeCell ref="H37:I37"/>
    <mergeCell ref="J37:K37"/>
    <mergeCell ref="A36:C36"/>
    <mergeCell ref="D36:E36"/>
    <mergeCell ref="F36:G36"/>
    <mergeCell ref="H36:I36"/>
  </mergeCells>
  <pageMargins left="0.7" right="0.7" top="0.75" bottom="0.75" header="0.3" footer="0.3"/>
  <pageSetup paperSize="9" scale="44" fitToWidth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50"/>
    <pageSetUpPr fitToPage="1"/>
  </sheetPr>
  <dimension ref="A1:M37"/>
  <sheetViews>
    <sheetView rightToLeft="1" view="pageBreakPreview" zoomScale="70" zoomScaleSheetLayoutView="70" workbookViewId="0">
      <selection activeCell="B11" sqref="B11:C11"/>
    </sheetView>
  </sheetViews>
  <sheetFormatPr defaultRowHeight="15"/>
  <cols>
    <col min="2" max="2" width="9.125" customWidth="1"/>
    <col min="3" max="3" width="37.875" customWidth="1"/>
    <col min="4" max="4" width="14.125" customWidth="1"/>
    <col min="5" max="5" width="13" customWidth="1"/>
    <col min="6" max="6" width="13.25" customWidth="1"/>
    <col min="7" max="7" width="14" customWidth="1"/>
    <col min="8" max="8" width="15.125" customWidth="1"/>
    <col min="9" max="9" width="17.375" customWidth="1"/>
    <col min="10" max="11" width="14.125" customWidth="1"/>
    <col min="12" max="12" width="16.875" customWidth="1"/>
    <col min="13" max="13" width="27.875" customWidth="1"/>
  </cols>
  <sheetData>
    <row r="1" spans="1:13" ht="54.75" customHeight="1">
      <c r="A1" s="795" t="s">
        <v>132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  <c r="L1" s="795"/>
      <c r="M1" s="795"/>
    </row>
    <row r="2" spans="1:13" ht="18.75">
      <c r="A2" s="796" t="s">
        <v>0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</row>
    <row r="3" spans="1:13" ht="20.25">
      <c r="A3" s="792" t="s">
        <v>133</v>
      </c>
      <c r="B3" s="792"/>
      <c r="C3" s="792"/>
      <c r="D3" s="792"/>
      <c r="E3" s="792"/>
      <c r="F3" s="792"/>
      <c r="G3" s="792"/>
      <c r="H3" s="792"/>
      <c r="I3" s="792"/>
      <c r="J3" s="792"/>
      <c r="K3" s="792"/>
      <c r="L3" s="792"/>
      <c r="M3" s="792"/>
    </row>
    <row r="4" spans="1:13" ht="39" customHeight="1">
      <c r="A4" s="1" t="s">
        <v>1</v>
      </c>
      <c r="B4" s="793" t="s">
        <v>2</v>
      </c>
      <c r="C4" s="793"/>
      <c r="D4" s="47" t="s">
        <v>3</v>
      </c>
      <c r="E4" s="47" t="s">
        <v>4</v>
      </c>
      <c r="F4" s="47" t="s">
        <v>5</v>
      </c>
      <c r="G4" s="47" t="s">
        <v>6</v>
      </c>
      <c r="H4" s="47" t="s">
        <v>7</v>
      </c>
      <c r="I4" s="47" t="s">
        <v>8</v>
      </c>
      <c r="J4" s="47" t="s">
        <v>9</v>
      </c>
      <c r="K4" s="47" t="s">
        <v>10</v>
      </c>
      <c r="L4" s="47" t="s">
        <v>11</v>
      </c>
      <c r="M4" s="49" t="s">
        <v>12</v>
      </c>
    </row>
    <row r="5" spans="1:13" ht="26.25" customHeight="1">
      <c r="A5" s="4">
        <v>1</v>
      </c>
      <c r="B5" s="791" t="s">
        <v>137</v>
      </c>
      <c r="C5" s="791"/>
      <c r="D5" s="53" t="s">
        <v>14</v>
      </c>
      <c r="E5" s="53">
        <f>E6*1.5</f>
        <v>74970</v>
      </c>
      <c r="F5" s="53">
        <v>10</v>
      </c>
      <c r="G5" s="53">
        <f t="shared" ref="G5:G12" si="0">400/F5</f>
        <v>40</v>
      </c>
      <c r="H5" s="53">
        <f t="shared" ref="H5:H12" si="1">E5/F5</f>
        <v>7497</v>
      </c>
      <c r="I5" s="53">
        <f t="shared" ref="I5:I10" si="2">H5*G5*F5</f>
        <v>2998800</v>
      </c>
      <c r="J5" s="53">
        <v>66</v>
      </c>
      <c r="K5" s="53">
        <f t="shared" ref="K5:K10" si="3">H5/J5</f>
        <v>113.59090909090909</v>
      </c>
      <c r="L5" s="53">
        <f t="shared" ref="L5:L10" si="4">K5*F5</f>
        <v>1135.909090909091</v>
      </c>
      <c r="M5" s="6" t="s">
        <v>15</v>
      </c>
    </row>
    <row r="6" spans="1:13" ht="26.25" customHeight="1">
      <c r="A6" s="4">
        <v>2</v>
      </c>
      <c r="B6" s="791" t="s">
        <v>134</v>
      </c>
      <c r="C6" s="791"/>
      <c r="D6" s="53" t="s">
        <v>17</v>
      </c>
      <c r="E6" s="53">
        <f>1666*30</f>
        <v>49980</v>
      </c>
      <c r="F6" s="53">
        <v>10</v>
      </c>
      <c r="G6" s="53">
        <f t="shared" si="0"/>
        <v>40</v>
      </c>
      <c r="H6" s="53">
        <f t="shared" si="1"/>
        <v>4998</v>
      </c>
      <c r="I6" s="53">
        <f t="shared" si="2"/>
        <v>1999200</v>
      </c>
      <c r="J6" s="53">
        <v>66</v>
      </c>
      <c r="K6" s="53">
        <f t="shared" si="3"/>
        <v>75.727272727272734</v>
      </c>
      <c r="L6" s="53">
        <f t="shared" si="4"/>
        <v>757.27272727272737</v>
      </c>
      <c r="M6" s="6" t="s">
        <v>15</v>
      </c>
    </row>
    <row r="7" spans="1:13" ht="33" customHeight="1">
      <c r="A7" s="4">
        <v>3</v>
      </c>
      <c r="B7" s="781" t="s">
        <v>106</v>
      </c>
      <c r="C7" s="781"/>
      <c r="D7" s="7" t="s">
        <v>14</v>
      </c>
      <c r="E7" s="53">
        <f>(20*216*10)</f>
        <v>43200</v>
      </c>
      <c r="F7" s="53">
        <v>10</v>
      </c>
      <c r="G7" s="53">
        <f t="shared" si="0"/>
        <v>40</v>
      </c>
      <c r="H7" s="53">
        <f t="shared" si="1"/>
        <v>4320</v>
      </c>
      <c r="I7" s="53">
        <f t="shared" si="2"/>
        <v>1728000</v>
      </c>
      <c r="J7" s="53">
        <v>66</v>
      </c>
      <c r="K7" s="53">
        <f t="shared" si="3"/>
        <v>65.454545454545453</v>
      </c>
      <c r="L7" s="53">
        <f t="shared" si="4"/>
        <v>654.5454545454545</v>
      </c>
      <c r="M7" s="6" t="s">
        <v>15</v>
      </c>
    </row>
    <row r="8" spans="1:13" ht="33.75" customHeight="1">
      <c r="A8" s="4">
        <v>4</v>
      </c>
      <c r="B8" s="781" t="s">
        <v>91</v>
      </c>
      <c r="C8" s="781"/>
      <c r="D8" s="53" t="s">
        <v>17</v>
      </c>
      <c r="E8" s="53">
        <f>(20*216*3)</f>
        <v>12960</v>
      </c>
      <c r="F8" s="53">
        <v>10</v>
      </c>
      <c r="G8" s="53">
        <f t="shared" si="0"/>
        <v>40</v>
      </c>
      <c r="H8" s="53">
        <f t="shared" si="1"/>
        <v>1296</v>
      </c>
      <c r="I8" s="53">
        <f t="shared" si="2"/>
        <v>518400</v>
      </c>
      <c r="J8" s="53">
        <v>66</v>
      </c>
      <c r="K8" s="53">
        <f t="shared" si="3"/>
        <v>19.636363636363637</v>
      </c>
      <c r="L8" s="53">
        <f t="shared" si="4"/>
        <v>196.36363636363637</v>
      </c>
      <c r="M8" s="6" t="s">
        <v>15</v>
      </c>
    </row>
    <row r="9" spans="1:13" ht="26.25" customHeight="1">
      <c r="A9" s="4">
        <v>5</v>
      </c>
      <c r="B9" s="808" t="s">
        <v>109</v>
      </c>
      <c r="C9" s="809"/>
      <c r="D9" s="8" t="s">
        <v>20</v>
      </c>
      <c r="E9" s="53">
        <f>3*3*1000</f>
        <v>9000</v>
      </c>
      <c r="F9" s="53">
        <v>3</v>
      </c>
      <c r="G9" s="53">
        <f t="shared" si="0"/>
        <v>133.33333333333334</v>
      </c>
      <c r="H9" s="53">
        <f t="shared" si="1"/>
        <v>3000</v>
      </c>
      <c r="I9" s="53">
        <f t="shared" si="2"/>
        <v>1200000</v>
      </c>
      <c r="J9" s="53">
        <v>66</v>
      </c>
      <c r="K9" s="53">
        <f t="shared" si="3"/>
        <v>45.454545454545453</v>
      </c>
      <c r="L9" s="53">
        <f t="shared" si="4"/>
        <v>136.36363636363637</v>
      </c>
      <c r="M9" s="6" t="s">
        <v>15</v>
      </c>
    </row>
    <row r="10" spans="1:13" ht="26.25" customHeight="1">
      <c r="A10" s="4">
        <v>6</v>
      </c>
      <c r="B10" s="797" t="s">
        <v>21</v>
      </c>
      <c r="C10" s="797"/>
      <c r="D10" s="9" t="s">
        <v>22</v>
      </c>
      <c r="E10" s="10">
        <v>500</v>
      </c>
      <c r="F10" s="10">
        <v>1</v>
      </c>
      <c r="G10" s="10">
        <f t="shared" si="0"/>
        <v>400</v>
      </c>
      <c r="H10" s="10">
        <f t="shared" si="1"/>
        <v>500</v>
      </c>
      <c r="I10" s="10">
        <f t="shared" si="2"/>
        <v>200000</v>
      </c>
      <c r="J10" s="53">
        <v>66</v>
      </c>
      <c r="K10" s="53">
        <f t="shared" si="3"/>
        <v>7.5757575757575761</v>
      </c>
      <c r="L10" s="53">
        <f t="shared" si="4"/>
        <v>7.5757575757575761</v>
      </c>
      <c r="M10" s="6" t="s">
        <v>15</v>
      </c>
    </row>
    <row r="11" spans="1:13" ht="36" customHeight="1">
      <c r="A11" s="4">
        <v>7</v>
      </c>
      <c r="B11" s="806" t="s">
        <v>23</v>
      </c>
      <c r="C11" s="807"/>
      <c r="D11" s="53" t="s">
        <v>24</v>
      </c>
      <c r="E11" s="53">
        <v>4000</v>
      </c>
      <c r="F11" s="53">
        <v>50</v>
      </c>
      <c r="G11" s="53">
        <f t="shared" si="0"/>
        <v>8</v>
      </c>
      <c r="H11" s="53">
        <f t="shared" si="1"/>
        <v>80</v>
      </c>
      <c r="I11" s="53">
        <f>(H11*G11*F11)</f>
        <v>32000</v>
      </c>
      <c r="J11" s="53">
        <v>66</v>
      </c>
      <c r="K11" s="53">
        <f>(H11/J11)</f>
        <v>1.2121212121212122</v>
      </c>
      <c r="L11" s="53">
        <f>(K11*F11)</f>
        <v>60.606060606060609</v>
      </c>
      <c r="M11" s="6" t="s">
        <v>15</v>
      </c>
    </row>
    <row r="12" spans="1:13" ht="26.25" customHeight="1">
      <c r="A12" s="4">
        <v>8</v>
      </c>
      <c r="B12" s="798" t="s">
        <v>25</v>
      </c>
      <c r="C12" s="799"/>
      <c r="D12" s="53" t="s">
        <v>26</v>
      </c>
      <c r="E12" s="53">
        <v>200000</v>
      </c>
      <c r="F12" s="53">
        <v>200</v>
      </c>
      <c r="G12" s="53">
        <f t="shared" si="0"/>
        <v>2</v>
      </c>
      <c r="H12" s="53">
        <f t="shared" si="1"/>
        <v>1000</v>
      </c>
      <c r="I12" s="53">
        <f>(H12*G12*F12)</f>
        <v>400000</v>
      </c>
      <c r="J12" s="53">
        <v>66</v>
      </c>
      <c r="K12" s="53">
        <f>(H12/J12)</f>
        <v>15.151515151515152</v>
      </c>
      <c r="L12" s="53">
        <f>(K12*F12)</f>
        <v>3030.3030303030305</v>
      </c>
      <c r="M12" s="6" t="s">
        <v>15</v>
      </c>
    </row>
    <row r="13" spans="1:13" ht="18.75">
      <c r="A13" s="758" t="s">
        <v>27</v>
      </c>
      <c r="B13" s="758"/>
      <c r="C13" s="758"/>
      <c r="D13" s="11"/>
      <c r="E13" s="12"/>
      <c r="F13" s="12">
        <v>0</v>
      </c>
      <c r="G13" s="12">
        <v>0</v>
      </c>
      <c r="H13" s="48">
        <f>SUM(H5:H12)</f>
        <v>22691</v>
      </c>
      <c r="I13" s="48">
        <f>SUM(I5:I12)</f>
        <v>9076400</v>
      </c>
      <c r="J13" s="48"/>
      <c r="K13" s="48">
        <f>SUM(K5:K12)</f>
        <v>343.8030303030302</v>
      </c>
      <c r="L13" s="14"/>
      <c r="M13" s="14"/>
    </row>
    <row r="14" spans="1:13" ht="20.25">
      <c r="A14" s="792" t="s">
        <v>135</v>
      </c>
      <c r="B14" s="792"/>
      <c r="C14" s="792"/>
      <c r="D14" s="792"/>
      <c r="E14" s="792"/>
      <c r="F14" s="792"/>
      <c r="G14" s="792"/>
      <c r="H14" s="792"/>
      <c r="I14" s="792"/>
      <c r="J14" s="792"/>
      <c r="K14" s="792"/>
      <c r="L14" s="792"/>
      <c r="M14" s="792"/>
    </row>
    <row r="15" spans="1:13" ht="38.25" customHeight="1">
      <c r="A15" s="1" t="s">
        <v>1</v>
      </c>
      <c r="B15" s="793" t="s">
        <v>2</v>
      </c>
      <c r="C15" s="793"/>
      <c r="D15" s="47" t="s">
        <v>3</v>
      </c>
      <c r="E15" s="47" t="s">
        <v>4</v>
      </c>
      <c r="F15" s="47" t="s">
        <v>5</v>
      </c>
      <c r="G15" s="47" t="s">
        <v>6</v>
      </c>
      <c r="H15" s="47" t="s">
        <v>7</v>
      </c>
      <c r="I15" s="47" t="s">
        <v>8</v>
      </c>
      <c r="J15" s="47" t="s">
        <v>9</v>
      </c>
      <c r="K15" s="47" t="s">
        <v>10</v>
      </c>
      <c r="L15" s="47" t="s">
        <v>11</v>
      </c>
      <c r="M15" s="49" t="s">
        <v>12</v>
      </c>
    </row>
    <row r="16" spans="1:13" ht="27.75" customHeight="1">
      <c r="A16" s="4">
        <v>1</v>
      </c>
      <c r="B16" s="791" t="s">
        <v>136</v>
      </c>
      <c r="C16" s="791"/>
      <c r="D16" s="53" t="s">
        <v>14</v>
      </c>
      <c r="E16" s="53">
        <f>E17*1.5</f>
        <v>74970</v>
      </c>
      <c r="F16" s="53">
        <v>10</v>
      </c>
      <c r="G16" s="53">
        <f>400/F16</f>
        <v>40</v>
      </c>
      <c r="H16" s="53">
        <f>E16/F16</f>
        <v>7497</v>
      </c>
      <c r="I16" s="53">
        <f>H16*G16*F16</f>
        <v>2998800</v>
      </c>
      <c r="J16" s="53">
        <v>66</v>
      </c>
      <c r="K16" s="53">
        <f>H16/J16</f>
        <v>113.59090909090909</v>
      </c>
      <c r="L16" s="53">
        <f>K16*F16</f>
        <v>1135.909090909091</v>
      </c>
      <c r="M16" s="52" t="s">
        <v>29</v>
      </c>
    </row>
    <row r="17" spans="1:13" ht="27.75" customHeight="1">
      <c r="A17" s="4">
        <v>2</v>
      </c>
      <c r="B17" s="791" t="s">
        <v>134</v>
      </c>
      <c r="C17" s="791"/>
      <c r="D17" s="53" t="s">
        <v>17</v>
      </c>
      <c r="E17" s="53">
        <f>1666*30</f>
        <v>49980</v>
      </c>
      <c r="F17" s="53">
        <v>10</v>
      </c>
      <c r="G17" s="53">
        <f>400/F17</f>
        <v>40</v>
      </c>
      <c r="H17" s="53">
        <f>E17/F17</f>
        <v>4998</v>
      </c>
      <c r="I17" s="53">
        <f>H17*G17*F17</f>
        <v>1999200</v>
      </c>
      <c r="J17" s="53">
        <v>66</v>
      </c>
      <c r="K17" s="53">
        <f>H17/J17</f>
        <v>75.727272727272734</v>
      </c>
      <c r="L17" s="53">
        <f>K17*F17</f>
        <v>757.27272727272737</v>
      </c>
      <c r="M17" s="52" t="s">
        <v>29</v>
      </c>
    </row>
    <row r="18" spans="1:13" ht="34.5" customHeight="1">
      <c r="A18" s="4">
        <v>3</v>
      </c>
      <c r="B18" s="781" t="s">
        <v>90</v>
      </c>
      <c r="C18" s="781"/>
      <c r="D18" s="7" t="s">
        <v>14</v>
      </c>
      <c r="E18" s="53">
        <f>(20*216*10)</f>
        <v>43200</v>
      </c>
      <c r="F18" s="53">
        <v>10</v>
      </c>
      <c r="G18" s="53">
        <f>400/F18</f>
        <v>40</v>
      </c>
      <c r="H18" s="53">
        <f>E18/F18</f>
        <v>4320</v>
      </c>
      <c r="I18" s="53">
        <f>H18*G18*F18</f>
        <v>1728000</v>
      </c>
      <c r="J18" s="53">
        <v>66</v>
      </c>
      <c r="K18" s="53">
        <f>H18/J18</f>
        <v>65.454545454545453</v>
      </c>
      <c r="L18" s="53">
        <f>K18*F18</f>
        <v>654.5454545454545</v>
      </c>
      <c r="M18" s="52" t="s">
        <v>29</v>
      </c>
    </row>
    <row r="19" spans="1:13" ht="27.75" customHeight="1">
      <c r="A19" s="4">
        <v>4</v>
      </c>
      <c r="B19" s="781" t="s">
        <v>91</v>
      </c>
      <c r="C19" s="781"/>
      <c r="D19" s="53" t="s">
        <v>17</v>
      </c>
      <c r="E19" s="53">
        <f>(20*216*3)</f>
        <v>12960</v>
      </c>
      <c r="F19" s="53">
        <v>10</v>
      </c>
      <c r="G19" s="53">
        <f>400/F19</f>
        <v>40</v>
      </c>
      <c r="H19" s="53">
        <f>E19/F19</f>
        <v>1296</v>
      </c>
      <c r="I19" s="53">
        <f>H19*G19*F19</f>
        <v>518400</v>
      </c>
      <c r="J19" s="53">
        <v>66</v>
      </c>
      <c r="K19" s="53">
        <f>H19/J19</f>
        <v>19.636363636363637</v>
      </c>
      <c r="L19" s="53">
        <f>K19*F19</f>
        <v>196.36363636363637</v>
      </c>
      <c r="M19" s="52" t="s">
        <v>29</v>
      </c>
    </row>
    <row r="20" spans="1:13" ht="27.75" customHeight="1">
      <c r="A20" s="758" t="s">
        <v>27</v>
      </c>
      <c r="B20" s="758"/>
      <c r="C20" s="758"/>
      <c r="D20" s="11"/>
      <c r="E20" s="12"/>
      <c r="F20" s="12">
        <v>0</v>
      </c>
      <c r="G20" s="12">
        <v>0</v>
      </c>
      <c r="H20" s="48">
        <f>SUM(H16:H19)</f>
        <v>18111</v>
      </c>
      <c r="I20" s="48">
        <f>SUM(I16:I19)</f>
        <v>7244400</v>
      </c>
      <c r="J20" s="48"/>
      <c r="K20" s="48">
        <f>SUM(K16:K19)</f>
        <v>274.40909090909088</v>
      </c>
      <c r="L20" s="14"/>
      <c r="M20" s="14"/>
    </row>
    <row r="21" spans="1:13" ht="27.75" customHeight="1">
      <c r="A21" s="792" t="s">
        <v>138</v>
      </c>
      <c r="B21" s="792"/>
      <c r="C21" s="792"/>
      <c r="D21" s="792"/>
      <c r="E21" s="792"/>
      <c r="F21" s="792"/>
      <c r="G21" s="792"/>
      <c r="H21" s="792"/>
      <c r="I21" s="792"/>
      <c r="J21" s="792"/>
      <c r="K21" s="792"/>
      <c r="L21" s="792"/>
      <c r="M21" s="792"/>
    </row>
    <row r="22" spans="1:13" ht="42" customHeight="1">
      <c r="A22" s="16" t="s">
        <v>1</v>
      </c>
      <c r="B22" s="793" t="s">
        <v>30</v>
      </c>
      <c r="C22" s="793"/>
      <c r="D22" s="47" t="s">
        <v>3</v>
      </c>
      <c r="E22" s="47" t="s">
        <v>31</v>
      </c>
      <c r="F22" s="47" t="s">
        <v>5</v>
      </c>
      <c r="G22" s="47" t="s">
        <v>6</v>
      </c>
      <c r="H22" s="47" t="s">
        <v>32</v>
      </c>
      <c r="I22" s="47" t="s">
        <v>8</v>
      </c>
      <c r="J22" s="47" t="s">
        <v>33</v>
      </c>
      <c r="K22" s="47" t="s">
        <v>34</v>
      </c>
      <c r="L22" s="47" t="s">
        <v>35</v>
      </c>
      <c r="M22" s="49" t="s">
        <v>12</v>
      </c>
    </row>
    <row r="23" spans="1:13" ht="27" customHeight="1">
      <c r="A23" s="60">
        <v>1</v>
      </c>
      <c r="B23" s="791" t="s">
        <v>142</v>
      </c>
      <c r="C23" s="791"/>
      <c r="D23" s="53" t="s">
        <v>14</v>
      </c>
      <c r="E23" s="53">
        <f>1666*20*1.5</f>
        <v>49980</v>
      </c>
      <c r="F23" s="53">
        <v>10</v>
      </c>
      <c r="G23" s="53">
        <f>400/F23</f>
        <v>40</v>
      </c>
      <c r="H23" s="53">
        <f>E23/F23</f>
        <v>4998</v>
      </c>
      <c r="I23" s="53">
        <f>H23*G23*F23</f>
        <v>1999200</v>
      </c>
      <c r="J23" s="53">
        <v>44</v>
      </c>
      <c r="K23" s="53">
        <f t="shared" ref="K23:K28" si="5">H23/J23</f>
        <v>113.59090909090909</v>
      </c>
      <c r="L23" s="53">
        <f>K23*F23</f>
        <v>1135.909090909091</v>
      </c>
      <c r="M23" s="52" t="s">
        <v>29</v>
      </c>
    </row>
    <row r="24" spans="1:13" ht="30.75" customHeight="1">
      <c r="A24" s="60">
        <v>2</v>
      </c>
      <c r="B24" s="810" t="s">
        <v>143</v>
      </c>
      <c r="C24" s="811"/>
      <c r="D24" s="53" t="s">
        <v>17</v>
      </c>
      <c r="E24" s="53">
        <f>20*1666</f>
        <v>33320</v>
      </c>
      <c r="F24" s="53">
        <v>10</v>
      </c>
      <c r="G24" s="53">
        <v>40</v>
      </c>
      <c r="H24" s="53">
        <f>E24/F24</f>
        <v>3332</v>
      </c>
      <c r="I24" s="53">
        <f t="shared" ref="I24:I25" si="6">H24*G24*F24</f>
        <v>1332800</v>
      </c>
      <c r="J24" s="53">
        <v>44</v>
      </c>
      <c r="K24" s="53">
        <f t="shared" si="5"/>
        <v>75.727272727272734</v>
      </c>
      <c r="L24" s="53">
        <f>K24*F24</f>
        <v>757.27272727272737</v>
      </c>
      <c r="M24" s="52" t="s">
        <v>29</v>
      </c>
    </row>
    <row r="25" spans="1:13" ht="33" customHeight="1">
      <c r="A25" s="60">
        <v>3</v>
      </c>
      <c r="B25" s="781" t="s">
        <v>92</v>
      </c>
      <c r="C25" s="781"/>
      <c r="D25" s="7" t="s">
        <v>14</v>
      </c>
      <c r="E25" s="53">
        <f>(10*216*10)</f>
        <v>21600</v>
      </c>
      <c r="F25" s="53">
        <v>10</v>
      </c>
      <c r="G25" s="53">
        <f>400/F25</f>
        <v>40</v>
      </c>
      <c r="H25" s="53">
        <f>E25/F25</f>
        <v>2160</v>
      </c>
      <c r="I25" s="53">
        <f t="shared" si="6"/>
        <v>864000</v>
      </c>
      <c r="J25" s="53">
        <v>44</v>
      </c>
      <c r="K25" s="53">
        <f t="shared" si="5"/>
        <v>49.090909090909093</v>
      </c>
      <c r="L25" s="53">
        <f>K25*F25</f>
        <v>490.90909090909093</v>
      </c>
      <c r="M25" s="52" t="s">
        <v>29</v>
      </c>
    </row>
    <row r="26" spans="1:13" ht="31.5" customHeight="1">
      <c r="A26" s="60">
        <v>4</v>
      </c>
      <c r="B26" s="790" t="s">
        <v>39</v>
      </c>
      <c r="C26" s="790"/>
      <c r="D26" s="21" t="s">
        <v>40</v>
      </c>
      <c r="E26" s="42">
        <v>10</v>
      </c>
      <c r="F26" s="42">
        <v>20</v>
      </c>
      <c r="G26" s="42">
        <f>400/F26</f>
        <v>20</v>
      </c>
      <c r="H26" s="42">
        <f>E26*22</f>
        <v>220</v>
      </c>
      <c r="I26" s="42">
        <f>H26*G26*F26</f>
        <v>88000</v>
      </c>
      <c r="J26" s="42">
        <v>44</v>
      </c>
      <c r="K26" s="53">
        <f t="shared" si="5"/>
        <v>5</v>
      </c>
      <c r="L26" s="20">
        <f>F26*K26</f>
        <v>100</v>
      </c>
      <c r="M26" s="52" t="s">
        <v>38</v>
      </c>
    </row>
    <row r="27" spans="1:13" ht="31.5" customHeight="1">
      <c r="A27" s="60">
        <v>5</v>
      </c>
      <c r="B27" s="791" t="s">
        <v>139</v>
      </c>
      <c r="C27" s="791"/>
      <c r="D27" s="17" t="s">
        <v>37</v>
      </c>
      <c r="E27" s="17">
        <f>E19+E17+E8+E6</f>
        <v>125880</v>
      </c>
      <c r="F27" s="17">
        <v>40</v>
      </c>
      <c r="G27" s="17">
        <f>400/F27</f>
        <v>10</v>
      </c>
      <c r="H27" s="18">
        <f>E27/F27</f>
        <v>3147</v>
      </c>
      <c r="I27" s="42">
        <f>H27*G27*F27</f>
        <v>1258800</v>
      </c>
      <c r="J27" s="42">
        <v>44</v>
      </c>
      <c r="K27" s="53">
        <f t="shared" si="5"/>
        <v>71.522727272727266</v>
      </c>
      <c r="L27" s="20">
        <f>F27*K27</f>
        <v>2860.9090909090905</v>
      </c>
      <c r="M27" s="52" t="s">
        <v>38</v>
      </c>
    </row>
    <row r="28" spans="1:13" ht="31.5" customHeight="1">
      <c r="A28" s="60">
        <v>6</v>
      </c>
      <c r="B28" s="791" t="s">
        <v>140</v>
      </c>
      <c r="C28" s="791"/>
      <c r="D28" s="17" t="s">
        <v>37</v>
      </c>
      <c r="E28" s="17">
        <f>E19+E17+E8+E6</f>
        <v>125880</v>
      </c>
      <c r="F28" s="17">
        <v>120</v>
      </c>
      <c r="G28" s="17">
        <f>400/F28</f>
        <v>3.3333333333333335</v>
      </c>
      <c r="H28" s="18">
        <f>E28/F28</f>
        <v>1049</v>
      </c>
      <c r="I28" s="42">
        <f>H28*G28*F28*6</f>
        <v>2517600.0000000005</v>
      </c>
      <c r="J28" s="42">
        <v>44</v>
      </c>
      <c r="K28" s="53">
        <f t="shared" si="5"/>
        <v>23.84090909090909</v>
      </c>
      <c r="L28" s="20">
        <f>F28*K28</f>
        <v>2860.909090909091</v>
      </c>
      <c r="M28" s="52" t="s">
        <v>38</v>
      </c>
    </row>
    <row r="29" spans="1:13" ht="23.25" customHeight="1">
      <c r="A29" s="60">
        <v>7</v>
      </c>
      <c r="B29" s="800" t="s">
        <v>84</v>
      </c>
      <c r="C29" s="800"/>
      <c r="D29" s="54" t="s">
        <v>85</v>
      </c>
      <c r="E29" s="58">
        <f>E28*15</f>
        <v>1888200</v>
      </c>
      <c r="F29" s="55"/>
      <c r="G29" s="56">
        <v>0.3</v>
      </c>
      <c r="H29" s="55"/>
      <c r="I29" s="58">
        <f>G29*E29</f>
        <v>566460</v>
      </c>
      <c r="J29" s="53">
        <v>66</v>
      </c>
      <c r="K29" s="53"/>
      <c r="L29" s="20"/>
      <c r="M29" s="52" t="s">
        <v>38</v>
      </c>
    </row>
    <row r="30" spans="1:13" ht="31.5" customHeight="1">
      <c r="A30" s="60">
        <v>8</v>
      </c>
      <c r="B30" s="791" t="s">
        <v>141</v>
      </c>
      <c r="C30" s="791"/>
      <c r="D30" s="17" t="s">
        <v>41</v>
      </c>
      <c r="E30" s="22">
        <v>20</v>
      </c>
      <c r="F30" s="23">
        <v>0.5</v>
      </c>
      <c r="G30" s="17">
        <f>400/F30</f>
        <v>800</v>
      </c>
      <c r="H30" s="18">
        <f>E30/F30</f>
        <v>40</v>
      </c>
      <c r="I30" s="42">
        <f>H30*G30*F30</f>
        <v>16000</v>
      </c>
      <c r="J30" s="42">
        <v>44</v>
      </c>
      <c r="K30" s="53">
        <f>H30/J30</f>
        <v>0.90909090909090906</v>
      </c>
      <c r="L30" s="61">
        <f>F30*K30</f>
        <v>0.45454545454545453</v>
      </c>
      <c r="M30" s="52" t="s">
        <v>38</v>
      </c>
    </row>
    <row r="31" spans="1:13" ht="31.5" customHeight="1">
      <c r="A31" s="60">
        <v>9</v>
      </c>
      <c r="B31" s="781" t="s">
        <v>93</v>
      </c>
      <c r="C31" s="781"/>
      <c r="D31" s="17" t="s">
        <v>41</v>
      </c>
      <c r="E31" s="17">
        <v>10</v>
      </c>
      <c r="F31" s="23">
        <v>0.5</v>
      </c>
      <c r="G31" s="17">
        <f>400/F31</f>
        <v>800</v>
      </c>
      <c r="H31" s="18">
        <f>E31/F31</f>
        <v>20</v>
      </c>
      <c r="I31" s="17">
        <f>H31*G31*F31</f>
        <v>8000</v>
      </c>
      <c r="J31" s="42">
        <v>44</v>
      </c>
      <c r="K31" s="53">
        <f>H31/J31</f>
        <v>0.45454545454545453</v>
      </c>
      <c r="L31" s="61">
        <f>F31*K31</f>
        <v>0.22727272727272727</v>
      </c>
      <c r="M31" s="52" t="s">
        <v>38</v>
      </c>
    </row>
    <row r="32" spans="1:13" ht="18.75">
      <c r="A32" s="762" t="s">
        <v>42</v>
      </c>
      <c r="B32" s="762"/>
      <c r="C32" s="762"/>
      <c r="D32" s="12"/>
      <c r="E32" s="12"/>
      <c r="F32" s="12"/>
      <c r="G32" s="12"/>
      <c r="H32" s="25">
        <f>SUM(H23:H31)</f>
        <v>14966</v>
      </c>
      <c r="I32" s="25">
        <f>SUM(I23:I31)</f>
        <v>8650860</v>
      </c>
      <c r="J32" s="25"/>
      <c r="K32" s="25">
        <f>SUM(K23:K31)</f>
        <v>340.13636363636363</v>
      </c>
      <c r="L32" s="26"/>
      <c r="M32" s="26"/>
    </row>
    <row r="33" spans="1:13" ht="42.75" customHeight="1">
      <c r="A33" s="803" t="s">
        <v>63</v>
      </c>
      <c r="B33" s="803"/>
      <c r="C33" s="803"/>
      <c r="D33" s="50"/>
      <c r="E33" s="50"/>
      <c r="F33" s="50"/>
      <c r="G33" s="50"/>
      <c r="H33" s="28">
        <f>SUM(H20+H32+H13)</f>
        <v>55768</v>
      </c>
      <c r="I33" s="28">
        <f>SUM(I20+I32+I13)</f>
        <v>24971660</v>
      </c>
      <c r="J33" s="28"/>
      <c r="K33" s="28">
        <f>SUM(K20+K32+K13)</f>
        <v>958.34848484848476</v>
      </c>
      <c r="L33" s="28"/>
      <c r="M33" s="50"/>
    </row>
    <row r="34" spans="1:13" s="40" customFormat="1" ht="39" customHeight="1">
      <c r="A34" s="783" t="s">
        <v>43</v>
      </c>
      <c r="B34" s="783"/>
      <c r="C34" s="804" t="s">
        <v>82</v>
      </c>
      <c r="D34" s="804"/>
      <c r="E34" s="804"/>
      <c r="F34" s="804"/>
      <c r="G34" s="805" t="s">
        <v>44</v>
      </c>
      <c r="H34" s="805"/>
      <c r="I34" s="801" t="s">
        <v>87</v>
      </c>
      <c r="J34" s="802"/>
      <c r="K34" s="802"/>
      <c r="L34" s="38"/>
      <c r="M34" s="62" t="e">
        <f>I33+'Shiwaki 7'!I33+'Koe Qurugh 6'!I33+'Binihesar 5'!I33+'Dashte Chamtala 4'!I33+'Badam Bagh 3'!I32+#REF!+#REF!+#REF!+#REF!+#REF!+#REF!+'قلعه مسلم'!#REF!+#REF!+#REF!+#REF!+#REF!</f>
        <v>#REF!</v>
      </c>
    </row>
    <row r="35" spans="1:13" s="40" customFormat="1" ht="39" customHeight="1">
      <c r="A35" s="788" t="s">
        <v>89</v>
      </c>
      <c r="B35" s="788"/>
      <c r="C35" s="788"/>
      <c r="D35" s="46"/>
      <c r="E35" s="46"/>
      <c r="F35" s="46"/>
      <c r="G35" s="51"/>
      <c r="H35" s="51"/>
      <c r="I35" s="45"/>
      <c r="J35" s="45"/>
      <c r="K35" s="45"/>
      <c r="L35" s="38"/>
      <c r="M35" s="63" t="e">
        <f>M34/67</f>
        <v>#REF!</v>
      </c>
    </row>
    <row r="36" spans="1:13" s="40" customFormat="1" ht="41.25" customHeight="1">
      <c r="A36" s="788" t="s">
        <v>45</v>
      </c>
      <c r="B36" s="788"/>
      <c r="C36" s="788"/>
      <c r="D36" s="789" t="s">
        <v>46</v>
      </c>
      <c r="E36" s="789"/>
      <c r="F36" s="786" t="s">
        <v>47</v>
      </c>
      <c r="G36" s="786"/>
      <c r="H36" s="786" t="s">
        <v>48</v>
      </c>
      <c r="I36" s="786"/>
      <c r="J36" s="774" t="s">
        <v>49</v>
      </c>
      <c r="K36" s="774"/>
      <c r="L36" s="38"/>
      <c r="M36" s="39"/>
    </row>
    <row r="37" spans="1:13" s="40" customFormat="1" ht="18.75" customHeight="1">
      <c r="A37" s="787" t="s">
        <v>50</v>
      </c>
      <c r="B37" s="787"/>
      <c r="C37" s="787"/>
      <c r="D37" s="785" t="s">
        <v>51</v>
      </c>
      <c r="E37" s="785"/>
      <c r="F37" s="785" t="s">
        <v>52</v>
      </c>
      <c r="G37" s="785"/>
      <c r="H37" s="785" t="s">
        <v>53</v>
      </c>
      <c r="I37" s="785"/>
      <c r="J37" s="785" t="s">
        <v>54</v>
      </c>
      <c r="K37" s="785"/>
      <c r="L37" s="785" t="s">
        <v>81</v>
      </c>
      <c r="M37" s="785"/>
    </row>
  </sheetData>
  <mergeCells count="49">
    <mergeCell ref="B12:C12"/>
    <mergeCell ref="A1:M1"/>
    <mergeCell ref="A2:M2"/>
    <mergeCell ref="A3:M3"/>
    <mergeCell ref="B4:C4"/>
    <mergeCell ref="B5:C5"/>
    <mergeCell ref="B6:C6"/>
    <mergeCell ref="B7:C7"/>
    <mergeCell ref="B8:C8"/>
    <mergeCell ref="B9:C9"/>
    <mergeCell ref="B10:C10"/>
    <mergeCell ref="B11:C11"/>
    <mergeCell ref="B25:C25"/>
    <mergeCell ref="A13:C13"/>
    <mergeCell ref="A14:M14"/>
    <mergeCell ref="B15:C15"/>
    <mergeCell ref="B16:C16"/>
    <mergeCell ref="B17:C17"/>
    <mergeCell ref="B18:C18"/>
    <mergeCell ref="B19:C19"/>
    <mergeCell ref="A20:C20"/>
    <mergeCell ref="A21:M21"/>
    <mergeCell ref="B22:C22"/>
    <mergeCell ref="B23:C23"/>
    <mergeCell ref="B24:C24"/>
    <mergeCell ref="I34:K34"/>
    <mergeCell ref="B26:C26"/>
    <mergeCell ref="B27:C27"/>
    <mergeCell ref="B28:C28"/>
    <mergeCell ref="B29:C29"/>
    <mergeCell ref="B30:C30"/>
    <mergeCell ref="B31:C31"/>
    <mergeCell ref="A32:C32"/>
    <mergeCell ref="A33:C33"/>
    <mergeCell ref="A34:B34"/>
    <mergeCell ref="C34:F34"/>
    <mergeCell ref="G34:H34"/>
    <mergeCell ref="L37:M37"/>
    <mergeCell ref="A35:C35"/>
    <mergeCell ref="A36:C36"/>
    <mergeCell ref="D36:E36"/>
    <mergeCell ref="F36:G36"/>
    <mergeCell ref="H36:I36"/>
    <mergeCell ref="J36:K36"/>
    <mergeCell ref="A37:C37"/>
    <mergeCell ref="D37:E37"/>
    <mergeCell ref="F37:G37"/>
    <mergeCell ref="H37:I37"/>
    <mergeCell ref="J37:K37"/>
  </mergeCells>
  <pageMargins left="0.7" right="0.7" top="0.75" bottom="0.75" header="0.3" footer="0.3"/>
  <pageSetup paperSize="9" scale="44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rightToLeft="1" view="pageBreakPreview" topLeftCell="A16" zoomScaleSheetLayoutView="100" workbookViewId="0">
      <selection activeCell="H27" sqref="H27"/>
    </sheetView>
  </sheetViews>
  <sheetFormatPr defaultColWidth="9.125" defaultRowHeight="15"/>
  <cols>
    <col min="1" max="1" width="9.125" style="330"/>
    <col min="2" max="2" width="36.75" style="330" customWidth="1"/>
    <col min="3" max="3" width="11.875" style="331" customWidth="1"/>
    <col min="4" max="5" width="11.875" style="330" customWidth="1"/>
    <col min="6" max="6" width="13.125" style="330" customWidth="1"/>
    <col min="7" max="7" width="11.875" style="330" customWidth="1"/>
    <col min="8" max="8" width="14.75" style="330" customWidth="1"/>
    <col min="9" max="9" width="12.75" style="330" customWidth="1"/>
    <col min="10" max="10" width="11.875" style="330" customWidth="1"/>
    <col min="11" max="11" width="12" style="330" customWidth="1"/>
    <col min="12" max="12" width="16" style="330" customWidth="1"/>
    <col min="13" max="16384" width="9.125" style="330"/>
  </cols>
  <sheetData>
    <row r="1" spans="1:12" s="332" customFormat="1" ht="22.5" customHeight="1">
      <c r="A1" s="731" t="s">
        <v>294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</row>
    <row r="2" spans="1:12" s="332" customFormat="1" ht="22.5" customHeight="1">
      <c r="A2" s="731" t="s">
        <v>284</v>
      </c>
      <c r="B2" s="731"/>
      <c r="C2" s="731"/>
      <c r="D2" s="731"/>
      <c r="E2" s="731"/>
      <c r="F2" s="731"/>
      <c r="G2" s="731"/>
      <c r="H2" s="731"/>
      <c r="I2" s="731"/>
      <c r="J2" s="731"/>
      <c r="K2" s="731"/>
      <c r="L2" s="731"/>
    </row>
    <row r="3" spans="1:12" s="332" customFormat="1" ht="22.5" customHeight="1" thickBot="1">
      <c r="A3" s="732" t="s">
        <v>295</v>
      </c>
      <c r="B3" s="732"/>
      <c r="C3" s="732"/>
      <c r="D3" s="732"/>
      <c r="E3" s="732"/>
      <c r="F3" s="732"/>
      <c r="G3" s="732"/>
      <c r="H3" s="732"/>
      <c r="I3" s="732"/>
      <c r="J3" s="732"/>
      <c r="K3" s="732"/>
      <c r="L3" s="732"/>
    </row>
    <row r="4" spans="1:12" ht="28.5" customHeight="1">
      <c r="A4" s="733" t="s">
        <v>313</v>
      </c>
      <c r="B4" s="734"/>
      <c r="C4" s="734"/>
      <c r="D4" s="734"/>
      <c r="E4" s="734"/>
      <c r="F4" s="734"/>
      <c r="G4" s="734"/>
      <c r="H4" s="734"/>
      <c r="I4" s="734"/>
      <c r="J4" s="734"/>
      <c r="K4" s="734"/>
      <c r="L4" s="735"/>
    </row>
    <row r="5" spans="1:12" s="334" customFormat="1" ht="40.5" customHeight="1">
      <c r="A5" s="736" t="s">
        <v>2</v>
      </c>
      <c r="B5" s="737"/>
      <c r="C5" s="356" t="s">
        <v>3</v>
      </c>
      <c r="D5" s="356" t="s">
        <v>4</v>
      </c>
      <c r="E5" s="356" t="s">
        <v>5</v>
      </c>
      <c r="F5" s="356" t="s">
        <v>6</v>
      </c>
      <c r="G5" s="356" t="s">
        <v>59</v>
      </c>
      <c r="H5" s="356" t="s">
        <v>8</v>
      </c>
      <c r="I5" s="357" t="s">
        <v>9</v>
      </c>
      <c r="J5" s="356" t="s">
        <v>79</v>
      </c>
      <c r="K5" s="356" t="s">
        <v>247</v>
      </c>
      <c r="L5" s="361" t="s">
        <v>12</v>
      </c>
    </row>
    <row r="6" spans="1:12" s="334" customFormat="1" ht="24.95" customHeight="1">
      <c r="A6" s="728" t="s">
        <v>209</v>
      </c>
      <c r="B6" s="729"/>
      <c r="C6" s="729"/>
      <c r="D6" s="729"/>
      <c r="E6" s="729"/>
      <c r="F6" s="729"/>
      <c r="G6" s="729"/>
      <c r="H6" s="729"/>
      <c r="I6" s="729"/>
      <c r="J6" s="729"/>
      <c r="K6" s="729"/>
      <c r="L6" s="730"/>
    </row>
    <row r="7" spans="1:12" s="333" customFormat="1" ht="20.100000000000001" customHeight="1">
      <c r="A7" s="337">
        <v>1</v>
      </c>
      <c r="B7" s="353" t="s">
        <v>289</v>
      </c>
      <c r="C7" s="344" t="s">
        <v>37</v>
      </c>
      <c r="D7" s="336">
        <v>60000</v>
      </c>
      <c r="E7" s="336">
        <v>60</v>
      </c>
      <c r="F7" s="117">
        <f>400/E7</f>
        <v>6.666666666666667</v>
      </c>
      <c r="G7" s="117">
        <f t="shared" ref="G7" si="0">D7/E7</f>
        <v>1000</v>
      </c>
      <c r="H7" s="117">
        <f>(G7*F7*E7)</f>
        <v>400000</v>
      </c>
      <c r="I7" s="117">
        <v>22</v>
      </c>
      <c r="J7" s="117">
        <f>G7/I7</f>
        <v>45.454545454545453</v>
      </c>
      <c r="K7" s="117">
        <f t="shared" ref="K7" si="1">J7*E7</f>
        <v>2727.272727272727</v>
      </c>
      <c r="L7" s="338"/>
    </row>
    <row r="8" spans="1:12" s="333" customFormat="1" ht="21.95" customHeight="1">
      <c r="A8" s="738" t="s">
        <v>291</v>
      </c>
      <c r="B8" s="739"/>
      <c r="C8" s="340"/>
      <c r="D8" s="339"/>
      <c r="E8" s="339"/>
      <c r="F8" s="339"/>
      <c r="G8" s="339"/>
      <c r="H8" s="339">
        <f>SUM(H7)</f>
        <v>400000</v>
      </c>
      <c r="I8" s="339">
        <f>SUM(I7)</f>
        <v>22</v>
      </c>
      <c r="J8" s="340">
        <f>SUM(J7)</f>
        <v>45.454545454545453</v>
      </c>
      <c r="K8" s="339"/>
      <c r="L8" s="341"/>
    </row>
    <row r="9" spans="1:12" s="334" customFormat="1" ht="24.95" customHeight="1">
      <c r="A9" s="742" t="s">
        <v>298</v>
      </c>
      <c r="B9" s="743"/>
      <c r="C9" s="743"/>
      <c r="D9" s="743"/>
      <c r="E9" s="743"/>
      <c r="F9" s="743"/>
      <c r="G9" s="743"/>
      <c r="H9" s="743"/>
      <c r="I9" s="743"/>
      <c r="J9" s="743"/>
      <c r="K9" s="743"/>
      <c r="L9" s="744"/>
    </row>
    <row r="10" spans="1:12" s="333" customFormat="1" ht="20.100000000000001" customHeight="1">
      <c r="A10" s="337">
        <v>1</v>
      </c>
      <c r="B10" s="353" t="s">
        <v>301</v>
      </c>
      <c r="C10" s="358" t="s">
        <v>288</v>
      </c>
      <c r="D10" s="336"/>
      <c r="E10" s="336">
        <v>50</v>
      </c>
      <c r="F10" s="117">
        <f t="shared" ref="F10:F12" si="2">400/E10</f>
        <v>8</v>
      </c>
      <c r="G10" s="117">
        <f t="shared" ref="G10:G12" si="3">D10/E10</f>
        <v>0</v>
      </c>
      <c r="H10" s="117">
        <f t="shared" ref="H10:H12" si="4">(G10*F10*E10)</f>
        <v>0</v>
      </c>
      <c r="I10" s="117">
        <v>66</v>
      </c>
      <c r="J10" s="117">
        <f t="shared" ref="J10:J12" si="5">G10/I10</f>
        <v>0</v>
      </c>
      <c r="K10" s="117">
        <f t="shared" ref="K10:K12" si="6">J10*E10</f>
        <v>0</v>
      </c>
      <c r="L10" s="342"/>
    </row>
    <row r="11" spans="1:12" s="333" customFormat="1" ht="20.100000000000001" customHeight="1">
      <c r="A11" s="337">
        <v>2</v>
      </c>
      <c r="B11" s="354" t="s">
        <v>304</v>
      </c>
      <c r="C11" s="359" t="s">
        <v>288</v>
      </c>
      <c r="D11" s="336"/>
      <c r="E11" s="336">
        <v>80</v>
      </c>
      <c r="F11" s="117">
        <f t="shared" si="2"/>
        <v>5</v>
      </c>
      <c r="G11" s="117">
        <f t="shared" si="3"/>
        <v>0</v>
      </c>
      <c r="H11" s="117">
        <f t="shared" si="4"/>
        <v>0</v>
      </c>
      <c r="I11" s="117">
        <v>66</v>
      </c>
      <c r="J11" s="117">
        <f t="shared" si="5"/>
        <v>0</v>
      </c>
      <c r="K11" s="117">
        <f t="shared" si="6"/>
        <v>0</v>
      </c>
      <c r="L11" s="342"/>
    </row>
    <row r="12" spans="1:12" s="333" customFormat="1" ht="20.100000000000001" customHeight="1">
      <c r="A12" s="337">
        <v>3</v>
      </c>
      <c r="B12" s="354" t="s">
        <v>302</v>
      </c>
      <c r="C12" s="359" t="s">
        <v>37</v>
      </c>
      <c r="D12" s="336"/>
      <c r="E12" s="336">
        <v>250</v>
      </c>
      <c r="F12" s="117">
        <f t="shared" si="2"/>
        <v>1.6</v>
      </c>
      <c r="G12" s="117">
        <f t="shared" si="3"/>
        <v>0</v>
      </c>
      <c r="H12" s="117">
        <f t="shared" si="4"/>
        <v>0</v>
      </c>
      <c r="I12" s="117">
        <v>66</v>
      </c>
      <c r="J12" s="117">
        <f t="shared" si="5"/>
        <v>0</v>
      </c>
      <c r="K12" s="117">
        <f t="shared" si="6"/>
        <v>0</v>
      </c>
      <c r="L12" s="342"/>
    </row>
    <row r="13" spans="1:12" s="333" customFormat="1" ht="21.95" customHeight="1">
      <c r="A13" s="738" t="s">
        <v>291</v>
      </c>
      <c r="B13" s="739"/>
      <c r="C13" s="340"/>
      <c r="D13" s="339"/>
      <c r="E13" s="339"/>
      <c r="F13" s="339"/>
      <c r="G13" s="339"/>
      <c r="H13" s="339">
        <f t="shared" ref="H13:I13" si="7">SUM(H10:H12)</f>
        <v>0</v>
      </c>
      <c r="I13" s="339">
        <f t="shared" si="7"/>
        <v>198</v>
      </c>
      <c r="J13" s="340">
        <f>SUM(J10:J12)</f>
        <v>0</v>
      </c>
      <c r="K13" s="339"/>
      <c r="L13" s="341"/>
    </row>
    <row r="14" spans="1:12" s="334" customFormat="1" ht="24.95" customHeight="1">
      <c r="A14" s="742" t="s">
        <v>299</v>
      </c>
      <c r="B14" s="743"/>
      <c r="C14" s="743"/>
      <c r="D14" s="743"/>
      <c r="E14" s="743"/>
      <c r="F14" s="743"/>
      <c r="G14" s="743"/>
      <c r="H14" s="743"/>
      <c r="I14" s="743"/>
      <c r="J14" s="743"/>
      <c r="K14" s="743"/>
      <c r="L14" s="744"/>
    </row>
    <row r="15" spans="1:12" s="333" customFormat="1" ht="20.100000000000001" customHeight="1">
      <c r="A15" s="337">
        <v>1</v>
      </c>
      <c r="B15" s="354" t="s">
        <v>304</v>
      </c>
      <c r="C15" s="359" t="s">
        <v>288</v>
      </c>
      <c r="D15" s="336"/>
      <c r="E15" s="336">
        <v>80</v>
      </c>
      <c r="F15" s="117">
        <f t="shared" ref="F15:F16" si="8">400/E15</f>
        <v>5</v>
      </c>
      <c r="G15" s="117">
        <f t="shared" ref="G15:G16" si="9">D15/E15</f>
        <v>0</v>
      </c>
      <c r="H15" s="117">
        <f t="shared" ref="H15:H16" si="10">(G15*F15*E15)</f>
        <v>0</v>
      </c>
      <c r="I15" s="117">
        <v>66</v>
      </c>
      <c r="J15" s="117">
        <f t="shared" ref="J15:J16" si="11">G15/I15</f>
        <v>0</v>
      </c>
      <c r="K15" s="117">
        <f t="shared" ref="K15:K16" si="12">J15*E15</f>
        <v>0</v>
      </c>
      <c r="L15" s="343"/>
    </row>
    <row r="16" spans="1:12" s="333" customFormat="1" ht="20.100000000000001" customHeight="1">
      <c r="A16" s="337">
        <v>2</v>
      </c>
      <c r="B16" s="336" t="s">
        <v>303</v>
      </c>
      <c r="C16" s="344" t="s">
        <v>227</v>
      </c>
      <c r="D16" s="336"/>
      <c r="E16" s="336">
        <v>1</v>
      </c>
      <c r="F16" s="117">
        <f t="shared" si="8"/>
        <v>400</v>
      </c>
      <c r="G16" s="117">
        <f t="shared" si="9"/>
        <v>0</v>
      </c>
      <c r="H16" s="117">
        <f t="shared" si="10"/>
        <v>0</v>
      </c>
      <c r="I16" s="117">
        <v>66</v>
      </c>
      <c r="J16" s="117">
        <f t="shared" si="11"/>
        <v>0</v>
      </c>
      <c r="K16" s="117">
        <f t="shared" si="12"/>
        <v>0</v>
      </c>
      <c r="L16" s="345"/>
    </row>
    <row r="17" spans="1:12" s="333" customFormat="1" ht="21.95" customHeight="1">
      <c r="A17" s="738" t="s">
        <v>291</v>
      </c>
      <c r="B17" s="739"/>
      <c r="C17" s="340"/>
      <c r="D17" s="339"/>
      <c r="E17" s="339"/>
      <c r="F17" s="339"/>
      <c r="G17" s="339"/>
      <c r="H17" s="339">
        <f t="shared" ref="H17:I17" si="13">SUM(H15:H16)</f>
        <v>0</v>
      </c>
      <c r="I17" s="339">
        <f t="shared" si="13"/>
        <v>132</v>
      </c>
      <c r="J17" s="340">
        <f>SUM(J15:J16)</f>
        <v>0</v>
      </c>
      <c r="K17" s="339"/>
      <c r="L17" s="341"/>
    </row>
    <row r="18" spans="1:12" s="334" customFormat="1" ht="24.95" customHeight="1">
      <c r="A18" s="742" t="s">
        <v>300</v>
      </c>
      <c r="B18" s="743"/>
      <c r="C18" s="743"/>
      <c r="D18" s="743"/>
      <c r="E18" s="743"/>
      <c r="F18" s="743"/>
      <c r="G18" s="743"/>
      <c r="H18" s="743"/>
      <c r="I18" s="743"/>
      <c r="J18" s="743"/>
      <c r="K18" s="743"/>
      <c r="L18" s="744"/>
    </row>
    <row r="19" spans="1:12" s="333" customFormat="1" ht="20.100000000000001" customHeight="1">
      <c r="A19" s="337">
        <v>1</v>
      </c>
      <c r="B19" s="353" t="s">
        <v>301</v>
      </c>
      <c r="C19" s="358" t="s">
        <v>288</v>
      </c>
      <c r="D19" s="346"/>
      <c r="E19" s="344">
        <v>50</v>
      </c>
      <c r="F19" s="117">
        <f t="shared" ref="F19:F25" si="14">400/E19</f>
        <v>8</v>
      </c>
      <c r="G19" s="117">
        <f t="shared" ref="G19:G25" si="15">D19/E19</f>
        <v>0</v>
      </c>
      <c r="H19" s="117">
        <f t="shared" ref="H19:H25" si="16">(G19*F19*E19)</f>
        <v>0</v>
      </c>
      <c r="I19" s="117">
        <v>66</v>
      </c>
      <c r="J19" s="117">
        <f t="shared" ref="J19:J25" si="17">G19/I19</f>
        <v>0</v>
      </c>
      <c r="K19" s="117">
        <f t="shared" ref="K19:K25" si="18">J19*E19</f>
        <v>0</v>
      </c>
      <c r="L19" s="342"/>
    </row>
    <row r="20" spans="1:12" s="333" customFormat="1" ht="20.100000000000001" customHeight="1">
      <c r="A20" s="337">
        <v>2</v>
      </c>
      <c r="B20" s="354" t="s">
        <v>304</v>
      </c>
      <c r="C20" s="359" t="s">
        <v>288</v>
      </c>
      <c r="D20" s="336"/>
      <c r="E20" s="344">
        <v>80</v>
      </c>
      <c r="F20" s="117">
        <f t="shared" si="14"/>
        <v>5</v>
      </c>
      <c r="G20" s="117">
        <f t="shared" si="15"/>
        <v>0</v>
      </c>
      <c r="H20" s="117">
        <f t="shared" si="16"/>
        <v>0</v>
      </c>
      <c r="I20" s="117">
        <v>66</v>
      </c>
      <c r="J20" s="117">
        <f t="shared" si="17"/>
        <v>0</v>
      </c>
      <c r="K20" s="117">
        <f t="shared" si="18"/>
        <v>0</v>
      </c>
      <c r="L20" s="345"/>
    </row>
    <row r="21" spans="1:12" s="333" customFormat="1" ht="20.100000000000001" customHeight="1">
      <c r="A21" s="337">
        <v>3</v>
      </c>
      <c r="B21" s="354" t="s">
        <v>302</v>
      </c>
      <c r="C21" s="359" t="s">
        <v>37</v>
      </c>
      <c r="D21" s="336"/>
      <c r="E21" s="344">
        <v>250</v>
      </c>
      <c r="F21" s="117">
        <f t="shared" si="14"/>
        <v>1.6</v>
      </c>
      <c r="G21" s="117">
        <f t="shared" si="15"/>
        <v>0</v>
      </c>
      <c r="H21" s="117">
        <f t="shared" si="16"/>
        <v>0</v>
      </c>
      <c r="I21" s="117">
        <v>66</v>
      </c>
      <c r="J21" s="117">
        <f t="shared" si="17"/>
        <v>0</v>
      </c>
      <c r="K21" s="117">
        <f t="shared" si="18"/>
        <v>0</v>
      </c>
      <c r="L21" s="345"/>
    </row>
    <row r="22" spans="1:12" s="333" customFormat="1" ht="20.100000000000001" customHeight="1">
      <c r="A22" s="337">
        <v>4</v>
      </c>
      <c r="B22" s="354" t="s">
        <v>303</v>
      </c>
      <c r="C22" s="359" t="s">
        <v>227</v>
      </c>
      <c r="D22" s="336"/>
      <c r="E22" s="344">
        <v>1</v>
      </c>
      <c r="F22" s="117">
        <f t="shared" si="14"/>
        <v>400</v>
      </c>
      <c r="G22" s="117">
        <f t="shared" si="15"/>
        <v>0</v>
      </c>
      <c r="H22" s="117">
        <f t="shared" si="16"/>
        <v>0</v>
      </c>
      <c r="I22" s="117">
        <v>66</v>
      </c>
      <c r="J22" s="117">
        <f t="shared" si="17"/>
        <v>0</v>
      </c>
      <c r="K22" s="117">
        <f t="shared" si="18"/>
        <v>0</v>
      </c>
      <c r="L22" s="345"/>
    </row>
    <row r="23" spans="1:12" s="333" customFormat="1" ht="20.100000000000001" customHeight="1">
      <c r="A23" s="337">
        <v>5</v>
      </c>
      <c r="B23" s="354" t="s">
        <v>289</v>
      </c>
      <c r="C23" s="359" t="s">
        <v>37</v>
      </c>
      <c r="D23" s="336"/>
      <c r="E23" s="344">
        <v>60</v>
      </c>
      <c r="F23" s="117">
        <f t="shared" si="14"/>
        <v>6.666666666666667</v>
      </c>
      <c r="G23" s="117">
        <f t="shared" si="15"/>
        <v>0</v>
      </c>
      <c r="H23" s="117">
        <f t="shared" si="16"/>
        <v>0</v>
      </c>
      <c r="I23" s="117">
        <v>66</v>
      </c>
      <c r="J23" s="117">
        <f t="shared" si="17"/>
        <v>0</v>
      </c>
      <c r="K23" s="117">
        <f t="shared" si="18"/>
        <v>0</v>
      </c>
      <c r="L23" s="345"/>
    </row>
    <row r="24" spans="1:12" s="333" customFormat="1" ht="20.100000000000001" customHeight="1">
      <c r="A24" s="337">
        <v>6</v>
      </c>
      <c r="B24" s="355" t="s">
        <v>305</v>
      </c>
      <c r="C24" s="360" t="s">
        <v>24</v>
      </c>
      <c r="D24" s="346"/>
      <c r="E24" s="344">
        <v>300</v>
      </c>
      <c r="F24" s="117">
        <f t="shared" si="14"/>
        <v>1.3333333333333333</v>
      </c>
      <c r="G24" s="117">
        <f t="shared" si="15"/>
        <v>0</v>
      </c>
      <c r="H24" s="117">
        <f t="shared" si="16"/>
        <v>0</v>
      </c>
      <c r="I24" s="117">
        <v>66</v>
      </c>
      <c r="J24" s="117">
        <f t="shared" si="17"/>
        <v>0</v>
      </c>
      <c r="K24" s="117">
        <f t="shared" si="18"/>
        <v>0</v>
      </c>
      <c r="L24" s="345"/>
    </row>
    <row r="25" spans="1:12" s="333" customFormat="1" ht="20.100000000000001" customHeight="1">
      <c r="A25" s="337">
        <v>7</v>
      </c>
      <c r="B25" s="354" t="s">
        <v>292</v>
      </c>
      <c r="C25" s="359" t="s">
        <v>293</v>
      </c>
      <c r="D25" s="346"/>
      <c r="E25" s="344">
        <v>250</v>
      </c>
      <c r="F25" s="117">
        <f t="shared" si="14"/>
        <v>1.6</v>
      </c>
      <c r="G25" s="117">
        <f t="shared" si="15"/>
        <v>0</v>
      </c>
      <c r="H25" s="117">
        <f t="shared" si="16"/>
        <v>0</v>
      </c>
      <c r="I25" s="117">
        <v>66</v>
      </c>
      <c r="J25" s="117">
        <f t="shared" si="17"/>
        <v>0</v>
      </c>
      <c r="K25" s="117">
        <f t="shared" si="18"/>
        <v>0</v>
      </c>
      <c r="L25" s="345"/>
    </row>
    <row r="26" spans="1:12" s="334" customFormat="1" ht="21.95" customHeight="1">
      <c r="A26" s="738" t="s">
        <v>291</v>
      </c>
      <c r="B26" s="739"/>
      <c r="C26" s="348"/>
      <c r="D26" s="347"/>
      <c r="E26" s="347"/>
      <c r="F26" s="347"/>
      <c r="G26" s="347"/>
      <c r="H26" s="348">
        <f t="shared" ref="H26:I26" si="19">SUM(H19:H25)</f>
        <v>0</v>
      </c>
      <c r="I26" s="348">
        <f t="shared" si="19"/>
        <v>462</v>
      </c>
      <c r="J26" s="348">
        <f>SUM(J19:J25)</f>
        <v>0</v>
      </c>
      <c r="K26" s="347"/>
      <c r="L26" s="349"/>
    </row>
    <row r="27" spans="1:12" s="334" customFormat="1" ht="21.95" customHeight="1" thickBot="1">
      <c r="A27" s="740" t="s">
        <v>290</v>
      </c>
      <c r="B27" s="741"/>
      <c r="C27" s="351"/>
      <c r="D27" s="350"/>
      <c r="E27" s="350"/>
      <c r="F27" s="350"/>
      <c r="G27" s="350"/>
      <c r="H27" s="351">
        <f>SUM(H26,H17,H13,H8)</f>
        <v>400000</v>
      </c>
      <c r="I27" s="351">
        <f t="shared" ref="I27" si="20">SUM(I26,I17,I13,I8)</f>
        <v>814</v>
      </c>
      <c r="J27" s="351">
        <f>SUM(J26,J17,J13,J8)</f>
        <v>45.454545454545453</v>
      </c>
      <c r="K27" s="350"/>
      <c r="L27" s="352"/>
    </row>
    <row r="28" spans="1:12" s="335" customFormat="1" ht="32.25" customHeight="1">
      <c r="A28" s="721" t="s">
        <v>321</v>
      </c>
      <c r="B28" s="721"/>
      <c r="C28" s="721"/>
      <c r="D28" s="68"/>
      <c r="E28" s="68"/>
      <c r="F28" s="176"/>
      <c r="G28" s="68" t="s">
        <v>44</v>
      </c>
      <c r="H28" s="68" t="s">
        <v>217</v>
      </c>
      <c r="I28" s="244"/>
      <c r="J28" s="248"/>
      <c r="K28" s="244"/>
      <c r="L28" s="68"/>
    </row>
    <row r="29" spans="1:12" s="334" customFormat="1" ht="43.5" customHeight="1">
      <c r="A29" s="267" t="s">
        <v>318</v>
      </c>
      <c r="B29" s="268"/>
      <c r="C29" s="269" t="s">
        <v>48</v>
      </c>
      <c r="D29" s="270"/>
      <c r="E29" s="269" t="s">
        <v>200</v>
      </c>
      <c r="F29" s="269"/>
      <c r="G29" s="384" t="s">
        <v>319</v>
      </c>
      <c r="H29" s="324" t="s">
        <v>49</v>
      </c>
      <c r="I29" s="270"/>
      <c r="J29" s="324"/>
      <c r="K29" s="324"/>
      <c r="L29" s="39"/>
    </row>
    <row r="30" spans="1:12" ht="18.75">
      <c r="A30" s="271"/>
      <c r="B30" s="272"/>
      <c r="C30" s="271" t="s">
        <v>286</v>
      </c>
      <c r="D30" s="271"/>
      <c r="E30" s="244" t="s">
        <v>52</v>
      </c>
      <c r="F30" s="244"/>
      <c r="G30" s="271"/>
      <c r="H30" s="325" t="s">
        <v>54</v>
      </c>
      <c r="I30" s="271"/>
      <c r="J30" s="325"/>
      <c r="K30" s="323" t="s">
        <v>81</v>
      </c>
      <c r="L30" s="323"/>
    </row>
  </sheetData>
  <mergeCells count="15">
    <mergeCell ref="A26:B26"/>
    <mergeCell ref="A27:B27"/>
    <mergeCell ref="A28:C28"/>
    <mergeCell ref="A8:B8"/>
    <mergeCell ref="A9:L9"/>
    <mergeCell ref="A13:B13"/>
    <mergeCell ref="A14:L14"/>
    <mergeCell ref="A17:B17"/>
    <mergeCell ref="A18:L18"/>
    <mergeCell ref="A6:L6"/>
    <mergeCell ref="A1:L1"/>
    <mergeCell ref="A2:L2"/>
    <mergeCell ref="A3:L3"/>
    <mergeCell ref="A4:L4"/>
    <mergeCell ref="A5:B5"/>
  </mergeCells>
  <printOptions horizontalCentered="1"/>
  <pageMargins left="0.25" right="0.25" top="0.75" bottom="0.75" header="0.3" footer="0.3"/>
  <pageSetup scale="73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40"/>
  <sheetViews>
    <sheetView rightToLeft="1" view="pageBreakPreview" zoomScale="60" workbookViewId="0">
      <selection activeCell="D6" sqref="D6"/>
    </sheetView>
  </sheetViews>
  <sheetFormatPr defaultColWidth="9.125" defaultRowHeight="15"/>
  <cols>
    <col min="1" max="1" width="7" style="120" customWidth="1"/>
    <col min="2" max="2" width="48.25" style="120" customWidth="1"/>
    <col min="3" max="3" width="13.875" style="120" customWidth="1"/>
    <col min="4" max="11" width="18.375" style="120" customWidth="1"/>
    <col min="12" max="12" width="48.375" style="120" customWidth="1"/>
    <col min="13" max="13" width="10.75" style="120" bestFit="1" customWidth="1"/>
    <col min="14" max="14" width="17.625" style="120" customWidth="1"/>
    <col min="15" max="15" width="17" style="120" customWidth="1"/>
    <col min="16" max="16" width="24.125" style="120" customWidth="1"/>
    <col min="17" max="17" width="9.125" style="120"/>
    <col min="18" max="18" width="11.75" style="120" customWidth="1"/>
    <col min="19" max="19" width="9.125" style="120"/>
    <col min="20" max="20" width="13.375" style="120" customWidth="1"/>
    <col min="21" max="16384" width="9.125" style="120"/>
  </cols>
  <sheetData>
    <row r="1" spans="1:18" ht="60.75" customHeight="1">
      <c r="A1" s="750" t="s">
        <v>326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</row>
    <row r="2" spans="1:18" ht="27.75" customHeight="1">
      <c r="A2" s="751" t="s">
        <v>215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N2" s="34"/>
    </row>
    <row r="3" spans="1:18" s="141" customFormat="1" ht="32.25" customHeight="1">
      <c r="A3" s="771" t="s">
        <v>209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</row>
    <row r="4" spans="1:18" s="141" customFormat="1" ht="38.25" customHeight="1">
      <c r="A4" s="145" t="s">
        <v>1</v>
      </c>
      <c r="B4" s="146" t="s">
        <v>78</v>
      </c>
      <c r="C4" s="146" t="s">
        <v>3</v>
      </c>
      <c r="D4" s="147" t="s">
        <v>4</v>
      </c>
      <c r="E4" s="147" t="s">
        <v>5</v>
      </c>
      <c r="F4" s="147" t="s">
        <v>6</v>
      </c>
      <c r="G4" s="147" t="s">
        <v>59</v>
      </c>
      <c r="H4" s="147" t="s">
        <v>8</v>
      </c>
      <c r="I4" s="147" t="s">
        <v>210</v>
      </c>
      <c r="J4" s="147" t="s">
        <v>211</v>
      </c>
      <c r="K4" s="147" t="s">
        <v>212</v>
      </c>
      <c r="L4" s="147" t="s">
        <v>12</v>
      </c>
    </row>
    <row r="5" spans="1:18" s="141" customFormat="1" ht="30" customHeight="1">
      <c r="A5" s="188"/>
      <c r="B5" s="189" t="s">
        <v>237</v>
      </c>
      <c r="C5" s="189" t="s">
        <v>41</v>
      </c>
      <c r="D5" s="185">
        <v>85</v>
      </c>
      <c r="E5" s="185"/>
      <c r="F5" s="185"/>
      <c r="G5" s="185"/>
      <c r="H5" s="185"/>
      <c r="I5" s="185"/>
      <c r="J5" s="185"/>
      <c r="K5" s="185"/>
      <c r="L5" s="185"/>
    </row>
    <row r="6" spans="1:18" s="44" customFormat="1" ht="30" customHeight="1">
      <c r="A6" s="32">
        <v>1</v>
      </c>
      <c r="B6" s="390" t="s">
        <v>201</v>
      </c>
      <c r="C6" s="142" t="s">
        <v>228</v>
      </c>
      <c r="D6" s="144">
        <f>D5*1666/100*10</f>
        <v>14161</v>
      </c>
      <c r="E6" s="162">
        <v>17</v>
      </c>
      <c r="F6" s="162">
        <f>400/E6</f>
        <v>23.529411764705884</v>
      </c>
      <c r="G6" s="162">
        <f>D6*1/E6</f>
        <v>833</v>
      </c>
      <c r="H6" s="142">
        <f>G6*F6*E6</f>
        <v>333200</v>
      </c>
      <c r="I6" s="42">
        <v>22</v>
      </c>
      <c r="J6" s="143">
        <f>G6/I6</f>
        <v>37.863636363636367</v>
      </c>
      <c r="K6" s="42">
        <f>J6*E6</f>
        <v>643.68181818181824</v>
      </c>
      <c r="L6" s="113"/>
    </row>
    <row r="7" spans="1:18" s="44" customFormat="1" ht="30" customHeight="1">
      <c r="A7" s="32">
        <v>2</v>
      </c>
      <c r="B7" s="390" t="s">
        <v>202</v>
      </c>
      <c r="C7" s="142" t="s">
        <v>14</v>
      </c>
      <c r="D7" s="144">
        <f>D5/100*5*1000/100*10</f>
        <v>425</v>
      </c>
      <c r="E7" s="162">
        <v>17</v>
      </c>
      <c r="F7" s="162">
        <f t="shared" ref="F7:F9" si="0">400/E7</f>
        <v>23.529411764705884</v>
      </c>
      <c r="G7" s="162">
        <f t="shared" ref="G7:G9" si="1">D7*1/E7</f>
        <v>25</v>
      </c>
      <c r="H7" s="42">
        <f t="shared" ref="H7:H9" si="2">G7*F7*E7</f>
        <v>10000</v>
      </c>
      <c r="I7" s="42">
        <v>22</v>
      </c>
      <c r="J7" s="143">
        <f t="shared" ref="J7:J9" si="3">G7/I7</f>
        <v>1.1363636363636365</v>
      </c>
      <c r="K7" s="42">
        <f t="shared" ref="K7:K9" si="4">J7*E7</f>
        <v>19.31818181818182</v>
      </c>
      <c r="L7" s="113"/>
    </row>
    <row r="8" spans="1:18" s="44" customFormat="1" ht="30" customHeight="1">
      <c r="A8" s="32">
        <v>3</v>
      </c>
      <c r="B8" s="390" t="s">
        <v>203</v>
      </c>
      <c r="C8" s="142" t="s">
        <v>227</v>
      </c>
      <c r="D8" s="144">
        <f>D5/100*10</f>
        <v>8.5</v>
      </c>
      <c r="E8" s="162">
        <v>0.5</v>
      </c>
      <c r="F8" s="162">
        <f t="shared" si="0"/>
        <v>800</v>
      </c>
      <c r="G8" s="162">
        <f t="shared" si="1"/>
        <v>17</v>
      </c>
      <c r="H8" s="42">
        <f t="shared" si="2"/>
        <v>6800</v>
      </c>
      <c r="I8" s="42">
        <v>22</v>
      </c>
      <c r="J8" s="143">
        <f t="shared" si="3"/>
        <v>0.77272727272727271</v>
      </c>
      <c r="K8" s="42">
        <f t="shared" si="4"/>
        <v>0.38636363636363635</v>
      </c>
      <c r="L8" s="113"/>
    </row>
    <row r="9" spans="1:18" s="44" customFormat="1" ht="30" customHeight="1">
      <c r="A9" s="32">
        <v>4</v>
      </c>
      <c r="B9" s="390" t="s">
        <v>204</v>
      </c>
      <c r="C9" s="142" t="s">
        <v>229</v>
      </c>
      <c r="D9" s="144">
        <f>D5*800/100*10</f>
        <v>6800</v>
      </c>
      <c r="E9" s="162">
        <v>17</v>
      </c>
      <c r="F9" s="162">
        <f t="shared" si="0"/>
        <v>23.529411764705884</v>
      </c>
      <c r="G9" s="162">
        <f t="shared" si="1"/>
        <v>400</v>
      </c>
      <c r="H9" s="42">
        <f t="shared" si="2"/>
        <v>160000</v>
      </c>
      <c r="I9" s="42">
        <v>22</v>
      </c>
      <c r="J9" s="143">
        <f t="shared" si="3"/>
        <v>18.181818181818183</v>
      </c>
      <c r="K9" s="42">
        <f t="shared" si="4"/>
        <v>309.09090909090912</v>
      </c>
      <c r="L9" s="139"/>
    </row>
    <row r="10" spans="1:18" s="44" customFormat="1" ht="30" customHeight="1">
      <c r="A10" s="772" t="s">
        <v>220</v>
      </c>
      <c r="B10" s="772"/>
      <c r="C10" s="772"/>
      <c r="D10" s="150"/>
      <c r="E10" s="151"/>
      <c r="F10" s="151"/>
      <c r="G10" s="389">
        <f>SUM(G6:G9)</f>
        <v>1275</v>
      </c>
      <c r="H10" s="389">
        <f>SUM(H6:H9)</f>
        <v>510000</v>
      </c>
      <c r="I10" s="389"/>
      <c r="J10" s="152">
        <f>SUM(J6:J9)</f>
        <v>57.954545454545453</v>
      </c>
      <c r="K10" s="773"/>
      <c r="L10" s="773"/>
    </row>
    <row r="11" spans="1:18" ht="37.5" customHeight="1">
      <c r="A11" s="765" t="s">
        <v>149</v>
      </c>
      <c r="B11" s="765"/>
      <c r="C11" s="765"/>
      <c r="D11" s="765"/>
      <c r="E11" s="765"/>
      <c r="F11" s="765"/>
      <c r="G11" s="765"/>
      <c r="H11" s="765"/>
      <c r="I11" s="765"/>
      <c r="J11" s="765"/>
      <c r="K11" s="765"/>
      <c r="L11" s="765"/>
    </row>
    <row r="12" spans="1:18" ht="36" customHeight="1">
      <c r="A12" s="149" t="s">
        <v>1</v>
      </c>
      <c r="B12" s="147" t="s">
        <v>78</v>
      </c>
      <c r="C12" s="147" t="s">
        <v>3</v>
      </c>
      <c r="D12" s="147" t="s">
        <v>4</v>
      </c>
      <c r="E12" s="147" t="s">
        <v>5</v>
      </c>
      <c r="F12" s="147" t="s">
        <v>6</v>
      </c>
      <c r="G12" s="147" t="s">
        <v>59</v>
      </c>
      <c r="H12" s="147" t="s">
        <v>60</v>
      </c>
      <c r="I12" s="147" t="s">
        <v>9</v>
      </c>
      <c r="J12" s="147" t="s">
        <v>79</v>
      </c>
      <c r="K12" s="148" t="s">
        <v>86</v>
      </c>
      <c r="L12" s="148" t="s">
        <v>12</v>
      </c>
    </row>
    <row r="13" spans="1:18" ht="26.25" customHeight="1">
      <c r="A13" s="37">
        <v>1</v>
      </c>
      <c r="B13" s="390" t="s">
        <v>201</v>
      </c>
      <c r="C13" s="7" t="s">
        <v>14</v>
      </c>
      <c r="D13" s="144">
        <f>D5*1666/100*45</f>
        <v>63724.499999999993</v>
      </c>
      <c r="E13" s="162">
        <v>17</v>
      </c>
      <c r="F13" s="162">
        <f>400/E13</f>
        <v>23.529411764705884</v>
      </c>
      <c r="G13" s="162">
        <f>D13*1/E13</f>
        <v>3748.4999999999995</v>
      </c>
      <c r="H13" s="142">
        <f>G13*F13*E13</f>
        <v>1499400</v>
      </c>
      <c r="I13" s="42">
        <v>66</v>
      </c>
      <c r="J13" s="143">
        <f>G13/I13</f>
        <v>56.79545454545454</v>
      </c>
      <c r="K13" s="42">
        <f>J13*E13</f>
        <v>965.52272727272714</v>
      </c>
      <c r="L13" s="57"/>
      <c r="M13" s="112"/>
      <c r="R13" s="34"/>
    </row>
    <row r="14" spans="1:18" ht="26.25" customHeight="1">
      <c r="A14" s="37">
        <v>2</v>
      </c>
      <c r="B14" s="390" t="s">
        <v>202</v>
      </c>
      <c r="C14" s="7" t="s">
        <v>14</v>
      </c>
      <c r="D14" s="144">
        <f>D5/100*5*1000/100*45</f>
        <v>1912.5</v>
      </c>
      <c r="E14" s="162">
        <v>17</v>
      </c>
      <c r="F14" s="162">
        <f t="shared" ref="F14:F16" si="5">400/E14</f>
        <v>23.529411764705884</v>
      </c>
      <c r="G14" s="162">
        <f t="shared" ref="G14:G16" si="6">D14*1/E14</f>
        <v>112.5</v>
      </c>
      <c r="H14" s="142">
        <f t="shared" ref="H14:H16" si="7">G14*F14*E14</f>
        <v>45000.000000000007</v>
      </c>
      <c r="I14" s="42">
        <v>66</v>
      </c>
      <c r="J14" s="143">
        <f t="shared" ref="J14:J16" si="8">G14/I14</f>
        <v>1.7045454545454546</v>
      </c>
      <c r="K14" s="42">
        <f t="shared" ref="K14:K16" si="9">J14*E14</f>
        <v>28.977272727272727</v>
      </c>
      <c r="L14" s="57"/>
      <c r="M14" s="112"/>
      <c r="R14" s="34"/>
    </row>
    <row r="15" spans="1:18" ht="26.25" customHeight="1">
      <c r="A15" s="37">
        <v>3</v>
      </c>
      <c r="B15" s="390" t="s">
        <v>203</v>
      </c>
      <c r="C15" s="7" t="s">
        <v>227</v>
      </c>
      <c r="D15" s="144">
        <f>D5/100*45</f>
        <v>38.25</v>
      </c>
      <c r="E15" s="162">
        <v>0.5</v>
      </c>
      <c r="F15" s="162">
        <f t="shared" si="5"/>
        <v>800</v>
      </c>
      <c r="G15" s="162">
        <f t="shared" si="6"/>
        <v>76.5</v>
      </c>
      <c r="H15" s="142">
        <f t="shared" si="7"/>
        <v>30600</v>
      </c>
      <c r="I15" s="42">
        <v>66</v>
      </c>
      <c r="J15" s="143">
        <f t="shared" si="8"/>
        <v>1.1590909090909092</v>
      </c>
      <c r="K15" s="42">
        <f t="shared" si="9"/>
        <v>0.57954545454545459</v>
      </c>
      <c r="L15" s="57"/>
      <c r="M15" s="112"/>
      <c r="R15" s="34"/>
    </row>
    <row r="16" spans="1:18" ht="26.25" customHeight="1">
      <c r="A16" s="37">
        <v>4</v>
      </c>
      <c r="B16" s="390" t="s">
        <v>204</v>
      </c>
      <c r="C16" s="7" t="s">
        <v>229</v>
      </c>
      <c r="D16" s="144">
        <f>D5*800/100*45</f>
        <v>30600</v>
      </c>
      <c r="E16" s="162">
        <v>17</v>
      </c>
      <c r="F16" s="162">
        <f t="shared" si="5"/>
        <v>23.529411764705884</v>
      </c>
      <c r="G16" s="162">
        <f t="shared" si="6"/>
        <v>1800</v>
      </c>
      <c r="H16" s="142">
        <f t="shared" si="7"/>
        <v>720000.00000000012</v>
      </c>
      <c r="I16" s="42">
        <v>66</v>
      </c>
      <c r="J16" s="143">
        <f t="shared" si="8"/>
        <v>27.272727272727273</v>
      </c>
      <c r="K16" s="42">
        <f t="shared" si="9"/>
        <v>463.63636363636363</v>
      </c>
      <c r="L16" s="57"/>
      <c r="M16" s="112"/>
      <c r="R16" s="34"/>
    </row>
    <row r="17" spans="1:18" ht="26.25" customHeight="1">
      <c r="A17" s="766" t="s">
        <v>213</v>
      </c>
      <c r="B17" s="766"/>
      <c r="C17" s="154"/>
      <c r="D17" s="155"/>
      <c r="E17" s="156"/>
      <c r="F17" s="157"/>
      <c r="G17" s="158">
        <f>SUM(G13:G16)</f>
        <v>5737.5</v>
      </c>
      <c r="H17" s="156">
        <f>SUM(H13:H16)</f>
        <v>2295000</v>
      </c>
      <c r="I17" s="159"/>
      <c r="J17" s="160">
        <f>SUM(J13:J16)</f>
        <v>86.931818181818173</v>
      </c>
      <c r="K17" s="767"/>
      <c r="L17" s="767"/>
      <c r="M17" s="112"/>
      <c r="R17" s="34"/>
    </row>
    <row r="18" spans="1:18" ht="26.25" customHeight="1">
      <c r="A18" s="765" t="s">
        <v>61</v>
      </c>
      <c r="B18" s="765"/>
      <c r="C18" s="765"/>
      <c r="D18" s="765"/>
      <c r="E18" s="765"/>
      <c r="F18" s="765"/>
      <c r="G18" s="765"/>
      <c r="H18" s="765"/>
      <c r="I18" s="765"/>
      <c r="J18" s="765"/>
      <c r="K18" s="765"/>
      <c r="L18" s="765"/>
    </row>
    <row r="19" spans="1:18" ht="48.75" customHeight="1">
      <c r="A19" s="149" t="s">
        <v>1</v>
      </c>
      <c r="B19" s="147" t="s">
        <v>78</v>
      </c>
      <c r="C19" s="147" t="s">
        <v>3</v>
      </c>
      <c r="D19" s="147" t="s">
        <v>4</v>
      </c>
      <c r="E19" s="147" t="s">
        <v>5</v>
      </c>
      <c r="F19" s="147" t="s">
        <v>6</v>
      </c>
      <c r="G19" s="147" t="s">
        <v>59</v>
      </c>
      <c r="H19" s="147" t="s">
        <v>60</v>
      </c>
      <c r="I19" s="147" t="s">
        <v>9</v>
      </c>
      <c r="J19" s="147" t="s">
        <v>79</v>
      </c>
      <c r="K19" s="148" t="s">
        <v>86</v>
      </c>
      <c r="L19" s="148" t="s">
        <v>12</v>
      </c>
    </row>
    <row r="20" spans="1:18" ht="23.25" customHeight="1">
      <c r="A20" s="37">
        <v>1</v>
      </c>
      <c r="B20" s="390" t="s">
        <v>201</v>
      </c>
      <c r="C20" s="7" t="s">
        <v>14</v>
      </c>
      <c r="D20" s="144">
        <f>D5*1666/100*45</f>
        <v>63724.499999999993</v>
      </c>
      <c r="E20" s="162">
        <v>17</v>
      </c>
      <c r="F20" s="162">
        <f>400/E20</f>
        <v>23.529411764705884</v>
      </c>
      <c r="G20" s="162">
        <f>D20*1/E20</f>
        <v>3748.4999999999995</v>
      </c>
      <c r="H20" s="142">
        <f>G20*F20*E20</f>
        <v>1499400</v>
      </c>
      <c r="I20" s="42">
        <v>66</v>
      </c>
      <c r="J20" s="143">
        <f>G20/I20</f>
        <v>56.79545454545454</v>
      </c>
      <c r="K20" s="42">
        <f>J20*E20</f>
        <v>965.52272727272714</v>
      </c>
      <c r="L20" s="57"/>
      <c r="M20" s="112"/>
      <c r="R20" s="34"/>
    </row>
    <row r="21" spans="1:18" ht="23.25" customHeight="1">
      <c r="A21" s="37">
        <v>2</v>
      </c>
      <c r="B21" s="390" t="s">
        <v>202</v>
      </c>
      <c r="C21" s="7" t="s">
        <v>14</v>
      </c>
      <c r="D21" s="144">
        <f>D5/100*5*1000/100*45</f>
        <v>1912.5</v>
      </c>
      <c r="E21" s="162">
        <v>17</v>
      </c>
      <c r="F21" s="162">
        <f t="shared" ref="F21:F23" si="10">400/E21</f>
        <v>23.529411764705884</v>
      </c>
      <c r="G21" s="162">
        <f t="shared" ref="G21:G23" si="11">D21*1/E21</f>
        <v>112.5</v>
      </c>
      <c r="H21" s="142">
        <f t="shared" ref="H21:H23" si="12">G21*F21*E21</f>
        <v>45000.000000000007</v>
      </c>
      <c r="I21" s="42">
        <v>66</v>
      </c>
      <c r="J21" s="143">
        <f t="shared" ref="J21:J23" si="13">G21/I21</f>
        <v>1.7045454545454546</v>
      </c>
      <c r="K21" s="42">
        <f t="shared" ref="K21:K23" si="14">J21*E21</f>
        <v>28.977272727272727</v>
      </c>
      <c r="L21" s="57"/>
      <c r="M21" s="112"/>
      <c r="R21" s="34"/>
    </row>
    <row r="22" spans="1:18" ht="23.25" customHeight="1">
      <c r="A22" s="37">
        <v>3</v>
      </c>
      <c r="B22" s="390" t="s">
        <v>203</v>
      </c>
      <c r="C22" s="7" t="s">
        <v>227</v>
      </c>
      <c r="D22" s="144">
        <f>D5/100*45</f>
        <v>38.25</v>
      </c>
      <c r="E22" s="162">
        <v>0.5</v>
      </c>
      <c r="F22" s="162">
        <f t="shared" si="10"/>
        <v>800</v>
      </c>
      <c r="G22" s="162">
        <f t="shared" si="11"/>
        <v>76.5</v>
      </c>
      <c r="H22" s="142">
        <f t="shared" si="12"/>
        <v>30600</v>
      </c>
      <c r="I22" s="42">
        <v>66</v>
      </c>
      <c r="J22" s="143">
        <f t="shared" si="13"/>
        <v>1.1590909090909092</v>
      </c>
      <c r="K22" s="42">
        <f t="shared" si="14"/>
        <v>0.57954545454545459</v>
      </c>
      <c r="L22" s="57"/>
      <c r="M22" s="112"/>
      <c r="R22" s="34"/>
    </row>
    <row r="23" spans="1:18" ht="23.25" customHeight="1">
      <c r="A23" s="37">
        <v>4</v>
      </c>
      <c r="B23" s="390" t="s">
        <v>204</v>
      </c>
      <c r="C23" s="7" t="s">
        <v>229</v>
      </c>
      <c r="D23" s="144">
        <f>D5*800/100*45</f>
        <v>30600</v>
      </c>
      <c r="E23" s="162">
        <v>17</v>
      </c>
      <c r="F23" s="162">
        <f t="shared" si="10"/>
        <v>23.529411764705884</v>
      </c>
      <c r="G23" s="162">
        <f t="shared" si="11"/>
        <v>1800</v>
      </c>
      <c r="H23" s="142">
        <f t="shared" si="12"/>
        <v>720000.00000000012</v>
      </c>
      <c r="I23" s="42">
        <v>66</v>
      </c>
      <c r="J23" s="143">
        <f t="shared" si="13"/>
        <v>27.272727272727273</v>
      </c>
      <c r="K23" s="42">
        <f t="shared" si="14"/>
        <v>463.63636363636363</v>
      </c>
      <c r="L23" s="57"/>
      <c r="M23" s="112"/>
      <c r="R23" s="34"/>
    </row>
    <row r="24" spans="1:18" ht="23.25" customHeight="1">
      <c r="A24" s="766" t="s">
        <v>214</v>
      </c>
      <c r="B24" s="766"/>
      <c r="C24" s="154"/>
      <c r="D24" s="155"/>
      <c r="E24" s="156"/>
      <c r="F24" s="157"/>
      <c r="G24" s="158">
        <f>SUM(G20:G23)</f>
        <v>5737.5</v>
      </c>
      <c r="H24" s="156">
        <f>SUM(H20:H23)</f>
        <v>2295000</v>
      </c>
      <c r="I24" s="159"/>
      <c r="J24" s="160">
        <f>SUM(J20:J23)</f>
        <v>86.931818181818173</v>
      </c>
      <c r="K24" s="767"/>
      <c r="L24" s="767"/>
      <c r="M24" s="112"/>
      <c r="R24" s="34"/>
    </row>
    <row r="25" spans="1:18" ht="32.25" customHeight="1">
      <c r="A25" s="765" t="s">
        <v>207</v>
      </c>
      <c r="B25" s="765"/>
      <c r="C25" s="765"/>
      <c r="D25" s="765"/>
      <c r="E25" s="765"/>
      <c r="F25" s="765"/>
      <c r="G25" s="765"/>
      <c r="H25" s="765"/>
      <c r="I25" s="765"/>
      <c r="J25" s="765"/>
      <c r="K25" s="765"/>
      <c r="L25" s="765"/>
      <c r="M25" s="43"/>
      <c r="N25" s="43"/>
    </row>
    <row r="26" spans="1:18" ht="45" customHeight="1">
      <c r="A26" s="149" t="s">
        <v>1</v>
      </c>
      <c r="B26" s="147" t="s">
        <v>78</v>
      </c>
      <c r="C26" s="147" t="s">
        <v>3</v>
      </c>
      <c r="D26" s="147" t="s">
        <v>4</v>
      </c>
      <c r="E26" s="147" t="s">
        <v>5</v>
      </c>
      <c r="F26" s="147" t="s">
        <v>6</v>
      </c>
      <c r="G26" s="147" t="s">
        <v>59</v>
      </c>
      <c r="H26" s="147" t="s">
        <v>60</v>
      </c>
      <c r="I26" s="147" t="s">
        <v>9</v>
      </c>
      <c r="J26" s="147" t="s">
        <v>79</v>
      </c>
      <c r="K26" s="148" t="s">
        <v>86</v>
      </c>
      <c r="L26" s="148" t="s">
        <v>12</v>
      </c>
    </row>
    <row r="27" spans="1:18" ht="23.25" customHeight="1">
      <c r="A27" s="37">
        <v>1</v>
      </c>
      <c r="B27" s="390" t="s">
        <v>283</v>
      </c>
      <c r="C27" s="7" t="s">
        <v>28</v>
      </c>
      <c r="D27" s="166">
        <f>D5*400</f>
        <v>34000</v>
      </c>
      <c r="E27" s="162">
        <v>50</v>
      </c>
      <c r="F27" s="162">
        <f>400/E27</f>
        <v>8</v>
      </c>
      <c r="G27" s="162">
        <f>D27*1/E27</f>
        <v>680</v>
      </c>
      <c r="H27" s="162">
        <f>G27*F27*E27</f>
        <v>272000</v>
      </c>
      <c r="I27" s="162">
        <v>22</v>
      </c>
      <c r="J27" s="162">
        <f>G27/I27</f>
        <v>30.90909090909091</v>
      </c>
      <c r="K27" s="162">
        <f>J27*E27</f>
        <v>1545.4545454545455</v>
      </c>
      <c r="L27" s="57"/>
      <c r="M27" s="112"/>
      <c r="R27" s="34"/>
    </row>
    <row r="28" spans="1:18" ht="23.25" customHeight="1">
      <c r="A28" s="37">
        <v>2</v>
      </c>
      <c r="B28" s="390" t="s">
        <v>206</v>
      </c>
      <c r="C28" s="7" t="s">
        <v>219</v>
      </c>
      <c r="D28" s="166">
        <f>D5/100*20</f>
        <v>17</v>
      </c>
      <c r="E28" s="162">
        <v>1</v>
      </c>
      <c r="F28" s="162">
        <f t="shared" ref="F28:F30" si="15">400/E28</f>
        <v>400</v>
      </c>
      <c r="G28" s="162">
        <f t="shared" ref="G28:G30" si="16">D28*1/E28</f>
        <v>17</v>
      </c>
      <c r="H28" s="162">
        <f t="shared" ref="H28:H30" si="17">G28*F28*E28</f>
        <v>6800</v>
      </c>
      <c r="I28" s="162">
        <v>22</v>
      </c>
      <c r="J28" s="162">
        <f t="shared" ref="J28:J30" si="18">G28/I28</f>
        <v>0.77272727272727271</v>
      </c>
      <c r="K28" s="162">
        <f t="shared" ref="K28:K30" si="19">J28*E28</f>
        <v>0.77272727272727271</v>
      </c>
      <c r="L28" s="57"/>
      <c r="M28" s="112"/>
      <c r="R28" s="34"/>
    </row>
    <row r="29" spans="1:18" ht="23.25" customHeight="1">
      <c r="A29" s="37">
        <v>3</v>
      </c>
      <c r="B29" s="390" t="s">
        <v>216</v>
      </c>
      <c r="C29" s="7" t="s">
        <v>229</v>
      </c>
      <c r="D29" s="166">
        <f>D5*400</f>
        <v>34000</v>
      </c>
      <c r="E29" s="162">
        <v>250</v>
      </c>
      <c r="F29" s="162">
        <f t="shared" si="15"/>
        <v>1.6</v>
      </c>
      <c r="G29" s="162">
        <f t="shared" si="16"/>
        <v>136</v>
      </c>
      <c r="H29" s="162">
        <f t="shared" si="17"/>
        <v>54400.000000000007</v>
      </c>
      <c r="I29" s="162">
        <v>22</v>
      </c>
      <c r="J29" s="162">
        <f t="shared" si="18"/>
        <v>6.1818181818181817</v>
      </c>
      <c r="K29" s="162">
        <f t="shared" si="19"/>
        <v>1545.4545454545455</v>
      </c>
      <c r="L29" s="57"/>
      <c r="M29" s="112"/>
      <c r="R29" s="34"/>
    </row>
    <row r="30" spans="1:18" ht="23.25" customHeight="1">
      <c r="A30" s="37">
        <v>4</v>
      </c>
      <c r="B30" s="390" t="s">
        <v>230</v>
      </c>
      <c r="C30" s="7" t="s">
        <v>28</v>
      </c>
      <c r="D30" s="166">
        <f>D27</f>
        <v>34000</v>
      </c>
      <c r="E30" s="162">
        <v>250</v>
      </c>
      <c r="F30" s="162">
        <f t="shared" si="15"/>
        <v>1.6</v>
      </c>
      <c r="G30" s="162">
        <f t="shared" si="16"/>
        <v>136</v>
      </c>
      <c r="H30" s="162">
        <f t="shared" si="17"/>
        <v>54400.000000000007</v>
      </c>
      <c r="I30" s="162">
        <v>22</v>
      </c>
      <c r="J30" s="162">
        <f t="shared" si="18"/>
        <v>6.1818181818181817</v>
      </c>
      <c r="K30" s="162">
        <f t="shared" si="19"/>
        <v>1545.4545454545455</v>
      </c>
      <c r="L30" s="57"/>
      <c r="M30" s="112"/>
      <c r="R30" s="34"/>
    </row>
    <row r="31" spans="1:18" ht="23.25" customHeight="1">
      <c r="A31" s="766" t="s">
        <v>208</v>
      </c>
      <c r="B31" s="766"/>
      <c r="C31" s="161"/>
      <c r="D31" s="161"/>
      <c r="E31" s="161"/>
      <c r="F31" s="163"/>
      <c r="G31" s="163">
        <f>SUM(G27:G29)</f>
        <v>833</v>
      </c>
      <c r="H31" s="163">
        <f>SUM(H27:H30)</f>
        <v>387600</v>
      </c>
      <c r="I31" s="164"/>
      <c r="J31" s="165">
        <f>SUM(J27:J30)</f>
        <v>44.045454545454547</v>
      </c>
      <c r="K31" s="766"/>
      <c r="L31" s="766"/>
      <c r="M31" s="112"/>
      <c r="R31" s="34"/>
    </row>
    <row r="32" spans="1:18" ht="23.25" customHeight="1">
      <c r="A32" s="726" t="s">
        <v>233</v>
      </c>
      <c r="B32" s="726"/>
      <c r="C32" s="69"/>
      <c r="D32" s="70"/>
      <c r="E32" s="70"/>
      <c r="F32" s="70"/>
      <c r="G32" s="71"/>
      <c r="H32" s="71">
        <f>H10+H17+H24+H31</f>
        <v>5487600</v>
      </c>
      <c r="I32" s="71"/>
      <c r="J32" s="71"/>
      <c r="K32" s="183"/>
      <c r="L32" s="184"/>
    </row>
    <row r="33" spans="1:12" ht="23.25" customHeight="1">
      <c r="A33" s="727" t="s">
        <v>234</v>
      </c>
      <c r="B33" s="727"/>
      <c r="C33" s="178"/>
      <c r="D33" s="179"/>
      <c r="E33" s="179"/>
      <c r="F33" s="179"/>
      <c r="G33" s="180"/>
      <c r="H33" s="180">
        <f>H32/68</f>
        <v>80700</v>
      </c>
      <c r="I33" s="180"/>
      <c r="J33" s="180"/>
      <c r="K33" s="181"/>
      <c r="L33" s="182"/>
    </row>
    <row r="34" spans="1:12" s="244" customFormat="1" ht="36.75" customHeight="1">
      <c r="A34" s="721" t="s">
        <v>321</v>
      </c>
      <c r="B34" s="721"/>
      <c r="C34" s="721"/>
      <c r="D34" s="68"/>
      <c r="E34" s="68"/>
      <c r="F34" s="176"/>
      <c r="G34" s="68" t="s">
        <v>44</v>
      </c>
      <c r="H34" s="68" t="s">
        <v>217</v>
      </c>
      <c r="J34" s="248"/>
      <c r="L34" s="68"/>
    </row>
    <row r="35" spans="1:12" s="244" customFormat="1" ht="39" customHeight="1">
      <c r="A35" s="267" t="s">
        <v>318</v>
      </c>
      <c r="B35" s="268"/>
      <c r="C35" s="269" t="s">
        <v>48</v>
      </c>
      <c r="D35" s="270"/>
      <c r="E35" s="270"/>
      <c r="F35" s="269" t="s">
        <v>200</v>
      </c>
      <c r="G35" s="39"/>
      <c r="H35" s="324"/>
      <c r="I35" s="384" t="s">
        <v>319</v>
      </c>
      <c r="J35" s="324" t="s">
        <v>49</v>
      </c>
      <c r="K35" s="324"/>
      <c r="L35" s="39"/>
    </row>
    <row r="36" spans="1:12" s="244" customFormat="1" ht="33" customHeight="1">
      <c r="A36" s="271"/>
      <c r="B36" s="272"/>
      <c r="C36" s="271" t="s">
        <v>286</v>
      </c>
      <c r="D36" s="271"/>
      <c r="E36" s="271"/>
      <c r="F36" s="244" t="s">
        <v>52</v>
      </c>
      <c r="G36" s="271"/>
      <c r="H36" s="325"/>
      <c r="I36" s="271"/>
      <c r="J36" s="325" t="s">
        <v>54</v>
      </c>
      <c r="K36" s="326"/>
      <c r="L36" s="323" t="s">
        <v>81</v>
      </c>
    </row>
    <row r="38" spans="1:12">
      <c r="H38" s="112">
        <f>'Financial Plan 1397'!G96</f>
        <v>19200.002380937338</v>
      </c>
    </row>
    <row r="40" spans="1:12" ht="30.75" customHeight="1">
      <c r="I40" s="391">
        <f>H38-H32</f>
        <v>-5468399.9976190627</v>
      </c>
    </row>
  </sheetData>
  <mergeCells count="17">
    <mergeCell ref="A25:L25"/>
    <mergeCell ref="A1:L1"/>
    <mergeCell ref="A2:L2"/>
    <mergeCell ref="A3:L3"/>
    <mergeCell ref="A10:C10"/>
    <mergeCell ref="K10:L10"/>
    <mergeCell ref="A11:L11"/>
    <mergeCell ref="A17:B17"/>
    <mergeCell ref="K17:L17"/>
    <mergeCell ref="A18:L18"/>
    <mergeCell ref="A24:B24"/>
    <mergeCell ref="K24:L24"/>
    <mergeCell ref="A31:B31"/>
    <mergeCell ref="K31:L31"/>
    <mergeCell ref="A32:B32"/>
    <mergeCell ref="A33:B33"/>
    <mergeCell ref="A34:C34"/>
  </mergeCells>
  <printOptions horizontalCentered="1"/>
  <pageMargins left="0.25" right="0.25" top="0.49" bottom="0.25" header="0.17" footer="0.18"/>
  <pageSetup paperSize="9" scale="5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32"/>
  <sheetViews>
    <sheetView rightToLeft="1" view="pageBreakPreview" topLeftCell="A4" zoomScale="70" zoomScaleSheetLayoutView="70" workbookViewId="0">
      <selection activeCell="A25" sqref="A25"/>
    </sheetView>
  </sheetViews>
  <sheetFormatPr defaultColWidth="9.125" defaultRowHeight="15"/>
  <cols>
    <col min="1" max="1" width="7" style="120" customWidth="1"/>
    <col min="2" max="2" width="48.25" style="120" customWidth="1"/>
    <col min="3" max="3" width="11" style="120" customWidth="1"/>
    <col min="4" max="4" width="17" style="120" bestFit="1" customWidth="1"/>
    <col min="5" max="5" width="13.25" style="120" customWidth="1"/>
    <col min="6" max="6" width="14.625" style="120" customWidth="1"/>
    <col min="7" max="7" width="14.75" style="120" customWidth="1"/>
    <col min="8" max="8" width="18.625" style="120" customWidth="1"/>
    <col min="9" max="9" width="13.125" style="218" customWidth="1"/>
    <col min="10" max="10" width="13.125" style="212" customWidth="1"/>
    <col min="11" max="11" width="19" style="212" customWidth="1"/>
    <col min="12" max="12" width="46.125" style="120" customWidth="1"/>
    <col min="13" max="13" width="10.75" style="120" bestFit="1" customWidth="1"/>
    <col min="14" max="14" width="17.625" style="120" customWidth="1"/>
    <col min="15" max="15" width="17" style="120" customWidth="1"/>
    <col min="16" max="16" width="24.125" style="120" customWidth="1"/>
    <col min="17" max="17" width="9.125" style="120"/>
    <col min="18" max="18" width="11.75" style="120" customWidth="1"/>
    <col min="19" max="19" width="9.125" style="120"/>
    <col min="20" max="20" width="13.375" style="120" customWidth="1"/>
    <col min="21" max="16384" width="9.125" style="120"/>
  </cols>
  <sheetData>
    <row r="1" spans="1:18" ht="60.75" customHeight="1">
      <c r="A1" s="750" t="s">
        <v>277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</row>
    <row r="2" spans="1:18" ht="34.5" customHeight="1">
      <c r="A2" s="751" t="s">
        <v>215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N2" s="34"/>
    </row>
    <row r="3" spans="1:18" s="141" customFormat="1" ht="32.25" customHeight="1">
      <c r="A3" s="745" t="s">
        <v>148</v>
      </c>
      <c r="B3" s="745"/>
      <c r="C3" s="745"/>
      <c r="D3" s="745"/>
      <c r="E3" s="745"/>
      <c r="F3" s="745"/>
      <c r="G3" s="745"/>
      <c r="H3" s="745"/>
      <c r="I3" s="745"/>
      <c r="J3" s="745"/>
      <c r="K3" s="745"/>
      <c r="L3" s="745"/>
    </row>
    <row r="4" spans="1:18" s="208" customFormat="1" ht="35.25" customHeight="1">
      <c r="A4" s="752" t="s">
        <v>2</v>
      </c>
      <c r="B4" s="752"/>
      <c r="C4" s="206" t="s">
        <v>3</v>
      </c>
      <c r="D4" s="206" t="s">
        <v>4</v>
      </c>
      <c r="E4" s="206" t="s">
        <v>5</v>
      </c>
      <c r="F4" s="206" t="s">
        <v>6</v>
      </c>
      <c r="G4" s="206" t="s">
        <v>59</v>
      </c>
      <c r="H4" s="206" t="s">
        <v>60</v>
      </c>
      <c r="I4" s="213" t="s">
        <v>9</v>
      </c>
      <c r="J4" s="206" t="s">
        <v>79</v>
      </c>
      <c r="K4" s="206" t="s">
        <v>247</v>
      </c>
      <c r="L4" s="207" t="s">
        <v>12</v>
      </c>
    </row>
    <row r="5" spans="1:18" s="209" customFormat="1" ht="26.25" customHeight="1">
      <c r="A5" s="226">
        <v>1</v>
      </c>
      <c r="B5" s="224" t="s">
        <v>267</v>
      </c>
      <c r="C5" s="226" t="s">
        <v>26</v>
      </c>
      <c r="D5" s="114">
        <v>0</v>
      </c>
      <c r="E5" s="72">
        <v>1000</v>
      </c>
      <c r="F5" s="236">
        <f>400/E5</f>
        <v>0.4</v>
      </c>
      <c r="G5" s="114"/>
      <c r="H5" s="114">
        <f>G5*F5*E5</f>
        <v>0</v>
      </c>
      <c r="I5" s="226">
        <v>22</v>
      </c>
      <c r="J5" s="117">
        <f t="shared" ref="J5:J6" si="0">G5/I5</f>
        <v>0</v>
      </c>
      <c r="K5" s="114">
        <f t="shared" ref="K5:K6" si="1">J5*E5</f>
        <v>0</v>
      </c>
      <c r="L5" s="228"/>
    </row>
    <row r="6" spans="1:18" s="209" customFormat="1" ht="26.25" customHeight="1">
      <c r="A6" s="109">
        <v>2</v>
      </c>
      <c r="B6" s="224" t="s">
        <v>258</v>
      </c>
      <c r="C6" s="72" t="s">
        <v>28</v>
      </c>
      <c r="D6" s="53">
        <f>5200/100*80+500</f>
        <v>4660</v>
      </c>
      <c r="E6" s="72">
        <v>250</v>
      </c>
      <c r="F6" s="205">
        <v>0.2</v>
      </c>
      <c r="G6" s="114"/>
      <c r="H6" s="114">
        <f>G6*F6*E6</f>
        <v>0</v>
      </c>
      <c r="I6" s="226">
        <v>22</v>
      </c>
      <c r="J6" s="117">
        <f t="shared" si="0"/>
        <v>0</v>
      </c>
      <c r="K6" s="114">
        <f t="shared" si="1"/>
        <v>0</v>
      </c>
      <c r="L6" s="237"/>
    </row>
    <row r="7" spans="1:18" s="44" customFormat="1" ht="32.25" customHeight="1">
      <c r="A7" s="747" t="s">
        <v>248</v>
      </c>
      <c r="B7" s="747"/>
      <c r="C7" s="11"/>
      <c r="D7" s="12"/>
      <c r="E7" s="12"/>
      <c r="F7" s="12"/>
      <c r="G7" s="192">
        <f>SUM(G5:G6)</f>
        <v>0</v>
      </c>
      <c r="H7" s="192">
        <f>SUM(H5:H6)</f>
        <v>0</v>
      </c>
      <c r="I7" s="214"/>
      <c r="J7" s="203">
        <f>SUM(J5:J6)</f>
        <v>0</v>
      </c>
      <c r="K7" s="753"/>
      <c r="L7" s="754"/>
    </row>
    <row r="8" spans="1:18" s="44" customFormat="1" ht="36.75" customHeight="1">
      <c r="A8" s="745" t="s">
        <v>149</v>
      </c>
      <c r="B8" s="745"/>
      <c r="C8" s="745"/>
      <c r="D8" s="745"/>
      <c r="E8" s="745"/>
      <c r="F8" s="745"/>
      <c r="G8" s="745"/>
      <c r="H8" s="745"/>
      <c r="I8" s="745"/>
      <c r="J8" s="745"/>
      <c r="K8" s="745"/>
      <c r="L8" s="745"/>
    </row>
    <row r="9" spans="1:18" s="209" customFormat="1" ht="36.75" customHeight="1">
      <c r="A9" s="746" t="s">
        <v>2</v>
      </c>
      <c r="B9" s="746"/>
      <c r="C9" s="138" t="s">
        <v>3</v>
      </c>
      <c r="D9" s="138" t="s">
        <v>4</v>
      </c>
      <c r="E9" s="138" t="s">
        <v>5</v>
      </c>
      <c r="F9" s="138" t="s">
        <v>6</v>
      </c>
      <c r="G9" s="138" t="s">
        <v>59</v>
      </c>
      <c r="H9" s="138" t="s">
        <v>60</v>
      </c>
      <c r="I9" s="215" t="s">
        <v>9</v>
      </c>
      <c r="J9" s="138" t="s">
        <v>79</v>
      </c>
      <c r="K9" s="138" t="s">
        <v>247</v>
      </c>
      <c r="L9" s="136" t="s">
        <v>12</v>
      </c>
    </row>
    <row r="10" spans="1:18" s="210" customFormat="1" ht="24.75" customHeight="1">
      <c r="A10" s="109">
        <v>1</v>
      </c>
      <c r="B10" s="224" t="s">
        <v>267</v>
      </c>
      <c r="C10" s="72" t="s">
        <v>26</v>
      </c>
      <c r="D10" s="53">
        <f>D5*9</f>
        <v>0</v>
      </c>
      <c r="E10" s="72">
        <v>2000</v>
      </c>
      <c r="F10" s="234">
        <f>400/E10</f>
        <v>0.2</v>
      </c>
      <c r="G10" s="114">
        <f>D10/E10</f>
        <v>0</v>
      </c>
      <c r="H10" s="114">
        <f>G10*F10*E10</f>
        <v>0</v>
      </c>
      <c r="I10" s="226">
        <v>66</v>
      </c>
      <c r="J10" s="117">
        <f t="shared" ref="J10:J13" si="2">G10/I10</f>
        <v>0</v>
      </c>
      <c r="K10" s="114">
        <f>J10*E10</f>
        <v>0</v>
      </c>
      <c r="L10" s="228"/>
      <c r="M10" s="229"/>
      <c r="R10" s="230"/>
    </row>
    <row r="11" spans="1:18" s="210" customFormat="1" ht="31.5" customHeight="1">
      <c r="A11" s="7">
        <v>2</v>
      </c>
      <c r="B11" s="224" t="s">
        <v>259</v>
      </c>
      <c r="C11" s="225" t="s">
        <v>28</v>
      </c>
      <c r="D11" s="114">
        <f>D6*6</f>
        <v>27960</v>
      </c>
      <c r="E11" s="226">
        <v>70</v>
      </c>
      <c r="F11" s="234">
        <f>400/E11</f>
        <v>5.7142857142857144</v>
      </c>
      <c r="G11" s="114">
        <f>D11/E11</f>
        <v>399.42857142857144</v>
      </c>
      <c r="H11" s="114">
        <f>G11*F11*E11</f>
        <v>159771.42857142861</v>
      </c>
      <c r="I11" s="226">
        <v>66</v>
      </c>
      <c r="J11" s="117">
        <f t="shared" si="2"/>
        <v>6.0519480519480524</v>
      </c>
      <c r="K11" s="114">
        <f t="shared" ref="K11:K13" si="3">J11*E11</f>
        <v>423.63636363636368</v>
      </c>
      <c r="L11" s="228" t="s">
        <v>323</v>
      </c>
      <c r="M11" s="229"/>
      <c r="R11" s="230"/>
    </row>
    <row r="12" spans="1:18" s="210" customFormat="1" ht="25.5" customHeight="1">
      <c r="A12" s="7">
        <v>3</v>
      </c>
      <c r="B12" s="224" t="s">
        <v>257</v>
      </c>
      <c r="C12" s="225" t="s">
        <v>28</v>
      </c>
      <c r="D12" s="114">
        <f>D6/100*20</f>
        <v>932</v>
      </c>
      <c r="E12" s="226">
        <v>100</v>
      </c>
      <c r="F12" s="235">
        <f>400/E12</f>
        <v>4</v>
      </c>
      <c r="G12" s="114">
        <f t="shared" ref="G12:G13" si="4">D12/E12</f>
        <v>9.32</v>
      </c>
      <c r="H12" s="114">
        <f>(G12*F12*E12)</f>
        <v>3728</v>
      </c>
      <c r="I12" s="226">
        <v>66</v>
      </c>
      <c r="J12" s="117">
        <f t="shared" si="2"/>
        <v>0.14121212121212121</v>
      </c>
      <c r="K12" s="114">
        <f t="shared" si="3"/>
        <v>14.121212121212121</v>
      </c>
      <c r="L12" s="228"/>
      <c r="M12" s="229"/>
      <c r="R12" s="230"/>
    </row>
    <row r="13" spans="1:18" s="210" customFormat="1" ht="25.5" customHeight="1">
      <c r="A13" s="7">
        <v>4</v>
      </c>
      <c r="B13" s="224" t="s">
        <v>260</v>
      </c>
      <c r="C13" s="72" t="s">
        <v>28</v>
      </c>
      <c r="D13" s="114">
        <f>D6</f>
        <v>4660</v>
      </c>
      <c r="E13" s="226">
        <v>400</v>
      </c>
      <c r="F13" s="235">
        <f>400/E13</f>
        <v>1</v>
      </c>
      <c r="G13" s="114">
        <f t="shared" si="4"/>
        <v>11.65</v>
      </c>
      <c r="H13" s="114">
        <f>(G13*F13*E13)</f>
        <v>4660</v>
      </c>
      <c r="I13" s="226">
        <v>66</v>
      </c>
      <c r="J13" s="117">
        <f t="shared" si="2"/>
        <v>0.17651515151515151</v>
      </c>
      <c r="K13" s="114">
        <f t="shared" si="3"/>
        <v>70.606060606060609</v>
      </c>
      <c r="L13" s="228"/>
      <c r="M13" s="229"/>
      <c r="R13" s="230"/>
    </row>
    <row r="14" spans="1:18" ht="30" customHeight="1">
      <c r="A14" s="747" t="s">
        <v>251</v>
      </c>
      <c r="B14" s="747"/>
      <c r="C14" s="11"/>
      <c r="D14" s="12"/>
      <c r="E14" s="12"/>
      <c r="F14" s="12"/>
      <c r="G14" s="192">
        <f>SUM(G10:G13)</f>
        <v>420.39857142857142</v>
      </c>
      <c r="H14" s="192">
        <f>SUM(H10:H13)</f>
        <v>168159.42857142861</v>
      </c>
      <c r="I14" s="214"/>
      <c r="J14" s="381">
        <f>SUM(J10:J13)</f>
        <v>6.3696753246753257</v>
      </c>
      <c r="K14" s="748"/>
      <c r="L14" s="749"/>
      <c r="M14" s="112"/>
      <c r="R14" s="34"/>
    </row>
    <row r="15" spans="1:18" ht="35.25" customHeight="1">
      <c r="A15" s="745" t="s">
        <v>61</v>
      </c>
      <c r="B15" s="745"/>
      <c r="C15" s="745"/>
      <c r="D15" s="745"/>
      <c r="E15" s="745"/>
      <c r="F15" s="745"/>
      <c r="G15" s="745"/>
      <c r="H15" s="745"/>
      <c r="I15" s="745"/>
      <c r="J15" s="745"/>
      <c r="K15" s="745"/>
      <c r="L15" s="745"/>
    </row>
    <row r="16" spans="1:18" s="210" customFormat="1" ht="39" customHeight="1">
      <c r="A16" s="29" t="s">
        <v>1</v>
      </c>
      <c r="B16" s="204" t="s">
        <v>78</v>
      </c>
      <c r="C16" s="138" t="s">
        <v>3</v>
      </c>
      <c r="D16" s="138" t="s">
        <v>4</v>
      </c>
      <c r="E16" s="138" t="s">
        <v>5</v>
      </c>
      <c r="F16" s="138" t="s">
        <v>6</v>
      </c>
      <c r="G16" s="138" t="s">
        <v>59</v>
      </c>
      <c r="H16" s="138" t="s">
        <v>60</v>
      </c>
      <c r="I16" s="215" t="s">
        <v>33</v>
      </c>
      <c r="J16" s="138" t="s">
        <v>34</v>
      </c>
      <c r="K16" s="194" t="s">
        <v>247</v>
      </c>
      <c r="L16" s="194" t="s">
        <v>12</v>
      </c>
    </row>
    <row r="17" spans="1:18" s="210" customFormat="1" ht="23.25" customHeight="1">
      <c r="A17" s="7">
        <v>1</v>
      </c>
      <c r="B17" s="224" t="s">
        <v>256</v>
      </c>
      <c r="C17" s="225" t="s">
        <v>26</v>
      </c>
      <c r="D17" s="114">
        <f>D5*12</f>
        <v>0</v>
      </c>
      <c r="E17" s="226">
        <v>1000</v>
      </c>
      <c r="F17" s="227">
        <f>400/E17</f>
        <v>0.4</v>
      </c>
      <c r="G17" s="114">
        <f>D17/E17</f>
        <v>0</v>
      </c>
      <c r="H17" s="114">
        <f>G17*F17*E17</f>
        <v>0</v>
      </c>
      <c r="I17" s="226">
        <v>66</v>
      </c>
      <c r="J17" s="117">
        <f>G17/I17</f>
        <v>0</v>
      </c>
      <c r="K17" s="117">
        <f t="shared" ref="K17" si="5">J17*E17</f>
        <v>0</v>
      </c>
      <c r="L17" s="228"/>
      <c r="M17" s="229"/>
      <c r="R17" s="230"/>
    </row>
    <row r="18" spans="1:18" s="210" customFormat="1" ht="23.25" customHeight="1">
      <c r="A18" s="59">
        <v>2</v>
      </c>
      <c r="B18" s="224" t="s">
        <v>258</v>
      </c>
      <c r="C18" s="22" t="s">
        <v>249</v>
      </c>
      <c r="D18" s="53">
        <f>D6*6</f>
        <v>27960</v>
      </c>
      <c r="E18" s="72">
        <v>70</v>
      </c>
      <c r="F18" s="227">
        <f>400/E18</f>
        <v>5.7142857142857144</v>
      </c>
      <c r="G18" s="114">
        <f>D18/E18</f>
        <v>399.42857142857144</v>
      </c>
      <c r="H18" s="53">
        <f>G18*F18*E18</f>
        <v>159771.42857142861</v>
      </c>
      <c r="I18" s="216">
        <v>66</v>
      </c>
      <c r="J18" s="117">
        <f>G18/I18</f>
        <v>6.0519480519480524</v>
      </c>
      <c r="K18" s="117">
        <f>J18*E18</f>
        <v>423.63636363636368</v>
      </c>
      <c r="L18" s="228" t="s">
        <v>323</v>
      </c>
      <c r="M18" s="229"/>
      <c r="R18" s="230"/>
    </row>
    <row r="19" spans="1:18" ht="33" customHeight="1">
      <c r="A19" s="758" t="s">
        <v>83</v>
      </c>
      <c r="B19" s="758"/>
      <c r="C19" s="11"/>
      <c r="D19" s="12"/>
      <c r="E19" s="12"/>
      <c r="F19" s="12"/>
      <c r="G19" s="192">
        <f>SUM(G17:G18)</f>
        <v>399.42857142857144</v>
      </c>
      <c r="H19" s="192">
        <f>SUM(H17:H18)</f>
        <v>159771.42857142861</v>
      </c>
      <c r="I19" s="214"/>
      <c r="J19" s="392">
        <f>SUM(J17:J18)</f>
        <v>6.0519480519480524</v>
      </c>
      <c r="K19" s="759"/>
      <c r="L19" s="760"/>
      <c r="M19" s="112"/>
      <c r="R19" s="34"/>
    </row>
    <row r="20" spans="1:18" ht="36" customHeight="1">
      <c r="A20" s="745" t="s">
        <v>263</v>
      </c>
      <c r="B20" s="745"/>
      <c r="C20" s="745"/>
      <c r="D20" s="745"/>
      <c r="E20" s="745"/>
      <c r="F20" s="745"/>
      <c r="G20" s="745"/>
      <c r="H20" s="745"/>
      <c r="I20" s="745"/>
      <c r="J20" s="745"/>
      <c r="K20" s="745"/>
      <c r="L20" s="745"/>
      <c r="M20" s="112"/>
      <c r="R20" s="34"/>
    </row>
    <row r="21" spans="1:18" s="210" customFormat="1" ht="38.25" customHeight="1">
      <c r="A21" s="136" t="s">
        <v>1</v>
      </c>
      <c r="B21" s="211" t="s">
        <v>30</v>
      </c>
      <c r="C21" s="197" t="s">
        <v>3</v>
      </c>
      <c r="D21" s="138" t="s">
        <v>31</v>
      </c>
      <c r="E21" s="138" t="s">
        <v>5</v>
      </c>
      <c r="F21" s="138" t="s">
        <v>6</v>
      </c>
      <c r="G21" s="138" t="s">
        <v>32</v>
      </c>
      <c r="H21" s="138" t="s">
        <v>8</v>
      </c>
      <c r="I21" s="215" t="s">
        <v>254</v>
      </c>
      <c r="J21" s="138" t="s">
        <v>79</v>
      </c>
      <c r="K21" s="138" t="s">
        <v>247</v>
      </c>
      <c r="L21" s="198" t="s">
        <v>12</v>
      </c>
    </row>
    <row r="22" spans="1:18" s="210" customFormat="1" ht="24" customHeight="1">
      <c r="A22" s="7">
        <v>1</v>
      </c>
      <c r="B22" s="224" t="s">
        <v>256</v>
      </c>
      <c r="C22" s="109" t="s">
        <v>26</v>
      </c>
      <c r="D22" s="53">
        <f>D5*12</f>
        <v>0</v>
      </c>
      <c r="E22" s="72">
        <v>2000</v>
      </c>
      <c r="F22" s="231">
        <f>400/E22</f>
        <v>0.2</v>
      </c>
      <c r="G22" s="114">
        <f t="shared" ref="G22:G26" si="6">D22/E22</f>
        <v>0</v>
      </c>
      <c r="H22" s="114">
        <f t="shared" ref="H22:H26" si="7">G22*F22*E22</f>
        <v>0</v>
      </c>
      <c r="I22" s="226"/>
      <c r="J22" s="117"/>
      <c r="K22" s="114">
        <f t="shared" ref="K22:K25" si="8">J22*E22</f>
        <v>0</v>
      </c>
      <c r="L22" s="228"/>
    </row>
    <row r="23" spans="1:18" s="210" customFormat="1" ht="29.25" customHeight="1">
      <c r="A23" s="226">
        <v>2</v>
      </c>
      <c r="B23" s="224" t="s">
        <v>258</v>
      </c>
      <c r="C23" s="72" t="s">
        <v>28</v>
      </c>
      <c r="D23" s="53">
        <f>D6*6</f>
        <v>27960</v>
      </c>
      <c r="E23" s="72">
        <v>70</v>
      </c>
      <c r="F23" s="231">
        <f>400/E23</f>
        <v>5.7142857142857144</v>
      </c>
      <c r="G23" s="114">
        <f t="shared" si="6"/>
        <v>399.42857142857144</v>
      </c>
      <c r="H23" s="114">
        <f t="shared" si="7"/>
        <v>159771.42857142861</v>
      </c>
      <c r="I23" s="226">
        <v>54</v>
      </c>
      <c r="J23" s="117">
        <f t="shared" ref="J23:J26" si="9">G23/I23</f>
        <v>7.3968253968253972</v>
      </c>
      <c r="K23" s="114">
        <f t="shared" si="8"/>
        <v>517.77777777777783</v>
      </c>
      <c r="L23" s="232" t="s">
        <v>323</v>
      </c>
    </row>
    <row r="24" spans="1:18" s="210" customFormat="1" ht="29.25" customHeight="1">
      <c r="A24" s="7">
        <v>3</v>
      </c>
      <c r="B24" s="224" t="s">
        <v>265</v>
      </c>
      <c r="C24" s="72" t="s">
        <v>26</v>
      </c>
      <c r="D24" s="53">
        <f>D25*3</f>
        <v>1398</v>
      </c>
      <c r="E24" s="72">
        <v>250</v>
      </c>
      <c r="F24" s="231">
        <f t="shared" ref="F24:F26" si="10">400/E24</f>
        <v>1.6</v>
      </c>
      <c r="G24" s="114">
        <f t="shared" si="6"/>
        <v>5.5919999999999996</v>
      </c>
      <c r="H24" s="114">
        <f t="shared" si="7"/>
        <v>2236.8000000000002</v>
      </c>
      <c r="I24" s="226">
        <v>54</v>
      </c>
      <c r="J24" s="117">
        <f t="shared" si="9"/>
        <v>0.10355555555555555</v>
      </c>
      <c r="K24" s="114">
        <f t="shared" si="8"/>
        <v>25.888888888888889</v>
      </c>
      <c r="L24" s="232"/>
    </row>
    <row r="25" spans="1:18" s="210" customFormat="1" ht="33.75" customHeight="1">
      <c r="A25" s="226">
        <v>4</v>
      </c>
      <c r="B25" s="233" t="s">
        <v>261</v>
      </c>
      <c r="C25" s="72" t="s">
        <v>28</v>
      </c>
      <c r="D25" s="114">
        <f>D6/100*10</f>
        <v>466</v>
      </c>
      <c r="E25" s="238">
        <v>50</v>
      </c>
      <c r="F25" s="231">
        <f t="shared" si="10"/>
        <v>8</v>
      </c>
      <c r="G25" s="114">
        <f t="shared" si="6"/>
        <v>9.32</v>
      </c>
      <c r="H25" s="114">
        <f t="shared" si="7"/>
        <v>3728</v>
      </c>
      <c r="I25" s="226">
        <v>54</v>
      </c>
      <c r="J25" s="117">
        <f t="shared" si="9"/>
        <v>0.1725925925925926</v>
      </c>
      <c r="K25" s="114">
        <f t="shared" si="8"/>
        <v>8.6296296296296298</v>
      </c>
      <c r="L25" s="228"/>
    </row>
    <row r="26" spans="1:18" s="209" customFormat="1" ht="30.75" customHeight="1">
      <c r="A26" s="226">
        <v>5</v>
      </c>
      <c r="B26" s="378" t="s">
        <v>317</v>
      </c>
      <c r="C26" s="72" t="s">
        <v>28</v>
      </c>
      <c r="D26" s="114">
        <f>D25</f>
        <v>466</v>
      </c>
      <c r="E26" s="238">
        <v>70</v>
      </c>
      <c r="F26" s="231">
        <f t="shared" si="10"/>
        <v>5.7142857142857144</v>
      </c>
      <c r="G26" s="114">
        <f t="shared" si="6"/>
        <v>6.6571428571428575</v>
      </c>
      <c r="H26" s="114">
        <f t="shared" si="7"/>
        <v>2662.8571428571431</v>
      </c>
      <c r="I26" s="226">
        <v>33</v>
      </c>
      <c r="J26" s="369">
        <f t="shared" si="9"/>
        <v>0.20173160173160173</v>
      </c>
      <c r="K26" s="370">
        <f>J26*E26</f>
        <v>14.121212121212121</v>
      </c>
      <c r="L26" s="228" t="s">
        <v>323</v>
      </c>
    </row>
    <row r="27" spans="1:18" ht="30.75" customHeight="1">
      <c r="A27" s="747" t="s">
        <v>80</v>
      </c>
      <c r="B27" s="747"/>
      <c r="C27" s="11"/>
      <c r="D27" s="12"/>
      <c r="E27" s="12">
        <v>0</v>
      </c>
      <c r="F27" s="12">
        <v>0</v>
      </c>
      <c r="G27" s="239">
        <f>SUM(G22:G25)</f>
        <v>414.34057142857142</v>
      </c>
      <c r="H27" s="239">
        <f>SUM(H22:H25)</f>
        <v>165736.2285714286</v>
      </c>
      <c r="I27" s="214"/>
      <c r="J27" s="393">
        <f>SUM(J22:J25)</f>
        <v>7.6729735449735452</v>
      </c>
      <c r="K27" s="755"/>
      <c r="L27" s="755"/>
    </row>
    <row r="28" spans="1:18" ht="29.25" customHeight="1">
      <c r="A28" s="756" t="s">
        <v>255</v>
      </c>
      <c r="B28" s="756"/>
      <c r="C28" s="199"/>
      <c r="D28" s="199">
        <v>0</v>
      </c>
      <c r="E28" s="199">
        <v>0</v>
      </c>
      <c r="F28" s="200">
        <v>0</v>
      </c>
      <c r="G28" s="200">
        <f>SUM(G7+G14+G19+G27)</f>
        <v>1234.1677142857143</v>
      </c>
      <c r="H28" s="200">
        <f>SUM(H7+H14+H19+H27)</f>
        <v>493667.08571428584</v>
      </c>
      <c r="I28" s="217"/>
      <c r="J28" s="201"/>
      <c r="K28" s="202"/>
      <c r="L28" s="202"/>
    </row>
    <row r="29" spans="1:18" s="219" customFormat="1" ht="27.75" customHeight="1">
      <c r="A29" s="757" t="s">
        <v>266</v>
      </c>
      <c r="B29" s="757"/>
      <c r="C29" s="220"/>
      <c r="D29" s="220"/>
      <c r="E29" s="220"/>
      <c r="F29" s="220"/>
      <c r="G29" s="220"/>
      <c r="H29" s="221">
        <f>H28/68.34</f>
        <v>7223.6916259040945</v>
      </c>
      <c r="I29" s="222"/>
      <c r="J29" s="223"/>
      <c r="K29" s="223"/>
      <c r="L29" s="220"/>
    </row>
    <row r="30" spans="1:18" s="244" customFormat="1" ht="37.5" customHeight="1">
      <c r="A30" s="721" t="s">
        <v>321</v>
      </c>
      <c r="B30" s="721"/>
      <c r="C30" s="721"/>
      <c r="D30" s="68"/>
      <c r="E30" s="68"/>
      <c r="F30" s="176"/>
      <c r="G30" s="68" t="s">
        <v>44</v>
      </c>
      <c r="H30" s="68" t="s">
        <v>217</v>
      </c>
      <c r="J30" s="248"/>
      <c r="L30" s="68"/>
    </row>
    <row r="31" spans="1:18" s="244" customFormat="1" ht="39.75" customHeight="1">
      <c r="A31" s="267" t="s">
        <v>318</v>
      </c>
      <c r="B31" s="268"/>
      <c r="C31" s="269" t="s">
        <v>48</v>
      </c>
      <c r="D31" s="270"/>
      <c r="E31" s="270"/>
      <c r="F31" s="269" t="s">
        <v>200</v>
      </c>
      <c r="G31" s="39"/>
      <c r="H31" s="324"/>
      <c r="I31" s="270" t="s">
        <v>320</v>
      </c>
      <c r="J31" s="324" t="s">
        <v>49</v>
      </c>
      <c r="K31" s="324"/>
      <c r="L31" s="39"/>
    </row>
    <row r="32" spans="1:18" s="244" customFormat="1" ht="31.5" customHeight="1">
      <c r="A32" s="271"/>
      <c r="B32" s="272"/>
      <c r="C32" s="271" t="s">
        <v>286</v>
      </c>
      <c r="D32" s="271"/>
      <c r="E32" s="271"/>
      <c r="F32" s="244" t="s">
        <v>52</v>
      </c>
      <c r="G32" s="271"/>
      <c r="H32" s="325"/>
      <c r="I32" s="271"/>
      <c r="J32" s="325" t="s">
        <v>54</v>
      </c>
      <c r="K32" s="326"/>
      <c r="L32" s="323" t="s">
        <v>81</v>
      </c>
    </row>
  </sheetData>
  <mergeCells count="19">
    <mergeCell ref="K27:L27"/>
    <mergeCell ref="A28:B28"/>
    <mergeCell ref="A29:B29"/>
    <mergeCell ref="A30:C30"/>
    <mergeCell ref="A19:B19"/>
    <mergeCell ref="K19:L19"/>
    <mergeCell ref="A20:L20"/>
    <mergeCell ref="A27:B27"/>
    <mergeCell ref="A1:L1"/>
    <mergeCell ref="A2:L2"/>
    <mergeCell ref="A3:L3"/>
    <mergeCell ref="A4:B4"/>
    <mergeCell ref="A7:B7"/>
    <mergeCell ref="K7:L7"/>
    <mergeCell ref="A8:L8"/>
    <mergeCell ref="A9:B9"/>
    <mergeCell ref="A14:B14"/>
    <mergeCell ref="K14:L14"/>
    <mergeCell ref="A15:L15"/>
  </mergeCells>
  <printOptions horizontalCentered="1"/>
  <pageMargins left="0.35" right="0.36" top="0.32" bottom="0.28999999999999998" header="0.17" footer="0.18"/>
  <pageSetup paperSize="9" scale="5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32"/>
  <sheetViews>
    <sheetView rightToLeft="1" view="pageBreakPreview" topLeftCell="A10" zoomScale="60" workbookViewId="0">
      <selection activeCell="A18" sqref="A18"/>
    </sheetView>
  </sheetViews>
  <sheetFormatPr defaultColWidth="9.125" defaultRowHeight="15"/>
  <cols>
    <col min="1" max="1" width="7" style="120" customWidth="1"/>
    <col min="2" max="2" width="48.25" style="120" customWidth="1"/>
    <col min="3" max="3" width="10" style="120" customWidth="1"/>
    <col min="4" max="4" width="17" style="120" bestFit="1" customWidth="1"/>
    <col min="5" max="5" width="13.25" style="120" customWidth="1"/>
    <col min="6" max="6" width="14.625" style="120" customWidth="1"/>
    <col min="7" max="7" width="14.75" style="120" customWidth="1"/>
    <col min="8" max="8" width="18.625" style="120" customWidth="1"/>
    <col min="9" max="9" width="13.125" style="218" customWidth="1"/>
    <col min="10" max="10" width="13.125" style="212" customWidth="1"/>
    <col min="11" max="11" width="19" style="212" customWidth="1"/>
    <col min="12" max="12" width="48.375" style="120" customWidth="1"/>
    <col min="13" max="13" width="10.75" style="120" bestFit="1" customWidth="1"/>
    <col min="14" max="14" width="17.625" style="120" customWidth="1"/>
    <col min="15" max="15" width="17" style="120" customWidth="1"/>
    <col min="16" max="16" width="24.125" style="120" customWidth="1"/>
    <col min="17" max="17" width="9.125" style="120"/>
    <col min="18" max="18" width="11.75" style="120" customWidth="1"/>
    <col min="19" max="19" width="9.125" style="120"/>
    <col min="20" max="20" width="13.375" style="120" customWidth="1"/>
    <col min="21" max="16384" width="9.125" style="120"/>
  </cols>
  <sheetData>
    <row r="1" spans="1:18" ht="60.75" customHeight="1">
      <c r="A1" s="750" t="s">
        <v>276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</row>
    <row r="2" spans="1:18" ht="27.75" customHeight="1">
      <c r="A2" s="751" t="s">
        <v>215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N2" s="34"/>
    </row>
    <row r="3" spans="1:18" s="141" customFormat="1" ht="32.25" customHeight="1">
      <c r="A3" s="745" t="s">
        <v>148</v>
      </c>
      <c r="B3" s="745"/>
      <c r="C3" s="745"/>
      <c r="D3" s="745"/>
      <c r="E3" s="745"/>
      <c r="F3" s="745"/>
      <c r="G3" s="745"/>
      <c r="H3" s="745"/>
      <c r="I3" s="745"/>
      <c r="J3" s="745"/>
      <c r="K3" s="745"/>
      <c r="L3" s="745"/>
    </row>
    <row r="4" spans="1:18" s="208" customFormat="1" ht="35.25" customHeight="1">
      <c r="A4" s="752" t="s">
        <v>2</v>
      </c>
      <c r="B4" s="752"/>
      <c r="C4" s="206" t="s">
        <v>3</v>
      </c>
      <c r="D4" s="206" t="s">
        <v>4</v>
      </c>
      <c r="E4" s="206" t="s">
        <v>5</v>
      </c>
      <c r="F4" s="206" t="s">
        <v>6</v>
      </c>
      <c r="G4" s="206" t="s">
        <v>59</v>
      </c>
      <c r="H4" s="206" t="s">
        <v>60</v>
      </c>
      <c r="I4" s="213" t="s">
        <v>9</v>
      </c>
      <c r="J4" s="206" t="s">
        <v>79</v>
      </c>
      <c r="K4" s="206" t="s">
        <v>247</v>
      </c>
      <c r="L4" s="207" t="s">
        <v>12</v>
      </c>
    </row>
    <row r="5" spans="1:18" s="209" customFormat="1" ht="26.25" customHeight="1">
      <c r="A5" s="226">
        <v>1</v>
      </c>
      <c r="B5" s="224" t="s">
        <v>267</v>
      </c>
      <c r="C5" s="226" t="s">
        <v>26</v>
      </c>
      <c r="D5" s="114">
        <v>5000</v>
      </c>
      <c r="E5" s="72">
        <v>1000</v>
      </c>
      <c r="F5" s="236">
        <f>400/E5</f>
        <v>0.4</v>
      </c>
      <c r="G5" s="114"/>
      <c r="H5" s="114">
        <f>G5*F5*E5</f>
        <v>0</v>
      </c>
      <c r="I5" s="226">
        <v>22</v>
      </c>
      <c r="J5" s="117">
        <f t="shared" ref="J5:J6" si="0">G5/I5</f>
        <v>0</v>
      </c>
      <c r="K5" s="114">
        <f t="shared" ref="K5:K6" si="1">J5*E5</f>
        <v>0</v>
      </c>
      <c r="L5" s="228"/>
    </row>
    <row r="6" spans="1:18" s="209" customFormat="1" ht="26.25" customHeight="1">
      <c r="A6" s="109">
        <v>2</v>
      </c>
      <c r="B6" s="224" t="s">
        <v>258</v>
      </c>
      <c r="C6" s="72" t="s">
        <v>28</v>
      </c>
      <c r="D6" s="53">
        <f>5500/100*80+2500</f>
        <v>6900</v>
      </c>
      <c r="E6" s="72">
        <v>250</v>
      </c>
      <c r="F6" s="205">
        <v>0.2</v>
      </c>
      <c r="G6" s="114"/>
      <c r="H6" s="114">
        <f>G6*F6*E6</f>
        <v>0</v>
      </c>
      <c r="I6" s="226">
        <v>22</v>
      </c>
      <c r="J6" s="117">
        <f t="shared" si="0"/>
        <v>0</v>
      </c>
      <c r="K6" s="114">
        <f t="shared" si="1"/>
        <v>0</v>
      </c>
      <c r="L6" s="237"/>
    </row>
    <row r="7" spans="1:18" s="44" customFormat="1" ht="32.25" customHeight="1">
      <c r="A7" s="747" t="s">
        <v>248</v>
      </c>
      <c r="B7" s="747"/>
      <c r="C7" s="11"/>
      <c r="D7" s="12"/>
      <c r="E7" s="12"/>
      <c r="F7" s="12"/>
      <c r="G7" s="192">
        <f>SUM(G5:G6)</f>
        <v>0</v>
      </c>
      <c r="H7" s="192">
        <f>SUM(H5:H6)</f>
        <v>0</v>
      </c>
      <c r="I7" s="214"/>
      <c r="J7" s="203">
        <f>SUM(J5:J6)</f>
        <v>0</v>
      </c>
      <c r="K7" s="753"/>
      <c r="L7" s="754"/>
    </row>
    <row r="8" spans="1:18" s="44" customFormat="1" ht="36.75" customHeight="1">
      <c r="A8" s="745" t="s">
        <v>149</v>
      </c>
      <c r="B8" s="745"/>
      <c r="C8" s="745"/>
      <c r="D8" s="745"/>
      <c r="E8" s="745"/>
      <c r="F8" s="745"/>
      <c r="G8" s="745"/>
      <c r="H8" s="745"/>
      <c r="I8" s="745"/>
      <c r="J8" s="745"/>
      <c r="K8" s="745"/>
      <c r="L8" s="745"/>
    </row>
    <row r="9" spans="1:18" s="209" customFormat="1" ht="36.75" customHeight="1">
      <c r="A9" s="746" t="s">
        <v>2</v>
      </c>
      <c r="B9" s="746"/>
      <c r="C9" s="138" t="s">
        <v>3</v>
      </c>
      <c r="D9" s="138" t="s">
        <v>4</v>
      </c>
      <c r="E9" s="138" t="s">
        <v>5</v>
      </c>
      <c r="F9" s="138" t="s">
        <v>6</v>
      </c>
      <c r="G9" s="138" t="s">
        <v>59</v>
      </c>
      <c r="H9" s="138" t="s">
        <v>60</v>
      </c>
      <c r="I9" s="215" t="s">
        <v>9</v>
      </c>
      <c r="J9" s="138" t="s">
        <v>79</v>
      </c>
      <c r="K9" s="138" t="s">
        <v>247</v>
      </c>
      <c r="L9" s="136" t="s">
        <v>12</v>
      </c>
    </row>
    <row r="10" spans="1:18" s="210" customFormat="1" ht="24.75" customHeight="1">
      <c r="A10" s="109">
        <v>1</v>
      </c>
      <c r="B10" s="224" t="s">
        <v>267</v>
      </c>
      <c r="C10" s="72" t="s">
        <v>26</v>
      </c>
      <c r="D10" s="53">
        <f>D5*9</f>
        <v>45000</v>
      </c>
      <c r="E10" s="72">
        <v>2000</v>
      </c>
      <c r="F10" s="235">
        <f t="shared" ref="F10:F11" si="2">400/E10</f>
        <v>0.2</v>
      </c>
      <c r="G10" s="114">
        <f t="shared" ref="G10:G13" si="3">D10/E10</f>
        <v>22.5</v>
      </c>
      <c r="H10" s="114">
        <f>G10*F10*E10</f>
        <v>9000</v>
      </c>
      <c r="I10" s="226">
        <v>66</v>
      </c>
      <c r="J10" s="117">
        <f>G10/I10</f>
        <v>0.34090909090909088</v>
      </c>
      <c r="K10" s="114">
        <f>J10*E10</f>
        <v>681.81818181818176</v>
      </c>
      <c r="L10" s="228"/>
      <c r="M10" s="229"/>
      <c r="R10" s="230"/>
    </row>
    <row r="11" spans="1:18" s="210" customFormat="1" ht="31.5" customHeight="1">
      <c r="A11" s="7">
        <v>2</v>
      </c>
      <c r="B11" s="224" t="s">
        <v>259</v>
      </c>
      <c r="C11" s="225" t="s">
        <v>28</v>
      </c>
      <c r="D11" s="114">
        <f>D6*6</f>
        <v>41400</v>
      </c>
      <c r="E11" s="226">
        <v>70</v>
      </c>
      <c r="F11" s="235">
        <f t="shared" si="2"/>
        <v>5.7142857142857144</v>
      </c>
      <c r="G11" s="114">
        <f t="shared" si="3"/>
        <v>591.42857142857144</v>
      </c>
      <c r="H11" s="114">
        <f>(G11*F11*E11)</f>
        <v>236571.42857142858</v>
      </c>
      <c r="I11" s="226">
        <v>66</v>
      </c>
      <c r="J11" s="117">
        <f t="shared" ref="J11:J13" si="4">G11/I11</f>
        <v>8.9610389610389607</v>
      </c>
      <c r="K11" s="114">
        <f t="shared" ref="K11:K13" si="5">J11*E11</f>
        <v>627.27272727272725</v>
      </c>
      <c r="L11" s="228" t="s">
        <v>322</v>
      </c>
      <c r="M11" s="229"/>
      <c r="R11" s="230"/>
    </row>
    <row r="12" spans="1:18" s="210" customFormat="1" ht="25.5" customHeight="1">
      <c r="A12" s="7">
        <v>3</v>
      </c>
      <c r="B12" s="224" t="s">
        <v>257</v>
      </c>
      <c r="C12" s="225" t="s">
        <v>28</v>
      </c>
      <c r="D12" s="114">
        <f>D6/100*20</f>
        <v>1380</v>
      </c>
      <c r="E12" s="226">
        <v>100</v>
      </c>
      <c r="F12" s="235">
        <f>400/E12</f>
        <v>4</v>
      </c>
      <c r="G12" s="114">
        <f t="shared" si="3"/>
        <v>13.8</v>
      </c>
      <c r="H12" s="114">
        <f>(G12*F12*E12)</f>
        <v>5520</v>
      </c>
      <c r="I12" s="226">
        <v>66</v>
      </c>
      <c r="J12" s="117">
        <f t="shared" si="4"/>
        <v>0.20909090909090911</v>
      </c>
      <c r="K12" s="114">
        <f t="shared" si="5"/>
        <v>20.90909090909091</v>
      </c>
      <c r="L12" s="228"/>
      <c r="M12" s="229"/>
      <c r="R12" s="230"/>
    </row>
    <row r="13" spans="1:18" s="210" customFormat="1" ht="25.5" customHeight="1">
      <c r="A13" s="7">
        <v>4</v>
      </c>
      <c r="B13" s="224" t="s">
        <v>260</v>
      </c>
      <c r="C13" s="72" t="s">
        <v>28</v>
      </c>
      <c r="D13" s="114">
        <f>D6</f>
        <v>6900</v>
      </c>
      <c r="E13" s="226">
        <v>400</v>
      </c>
      <c r="F13" s="235">
        <f>400/E13</f>
        <v>1</v>
      </c>
      <c r="G13" s="114">
        <f t="shared" si="3"/>
        <v>17.25</v>
      </c>
      <c r="H13" s="114">
        <f>(G13*F13*E13)</f>
        <v>6900</v>
      </c>
      <c r="I13" s="226">
        <v>66</v>
      </c>
      <c r="J13" s="117">
        <f t="shared" si="4"/>
        <v>0.26136363636363635</v>
      </c>
      <c r="K13" s="114">
        <f t="shared" si="5"/>
        <v>104.54545454545455</v>
      </c>
      <c r="L13" s="228"/>
      <c r="M13" s="229"/>
      <c r="R13" s="230"/>
    </row>
    <row r="14" spans="1:18" ht="30" customHeight="1">
      <c r="A14" s="747" t="s">
        <v>251</v>
      </c>
      <c r="B14" s="747"/>
      <c r="C14" s="11"/>
      <c r="D14" s="12"/>
      <c r="E14" s="12"/>
      <c r="F14" s="12"/>
      <c r="G14" s="192">
        <f>SUM(G10:G13)</f>
        <v>644.9785714285714</v>
      </c>
      <c r="H14" s="192">
        <f>SUM(H10:H13)</f>
        <v>257991.42857142858</v>
      </c>
      <c r="I14" s="214"/>
      <c r="J14" s="382">
        <f>SUM(J10:J13)</f>
        <v>9.7724025974025981</v>
      </c>
      <c r="K14" s="748"/>
      <c r="L14" s="749"/>
      <c r="M14" s="112"/>
      <c r="R14" s="34"/>
    </row>
    <row r="15" spans="1:18" ht="35.25" customHeight="1">
      <c r="A15" s="745" t="s">
        <v>61</v>
      </c>
      <c r="B15" s="745"/>
      <c r="C15" s="745"/>
      <c r="D15" s="745"/>
      <c r="E15" s="745"/>
      <c r="F15" s="745"/>
      <c r="G15" s="745"/>
      <c r="H15" s="745"/>
      <c r="I15" s="745"/>
      <c r="J15" s="745"/>
      <c r="K15" s="745"/>
      <c r="L15" s="745"/>
    </row>
    <row r="16" spans="1:18" s="210" customFormat="1" ht="39" customHeight="1">
      <c r="A16" s="29" t="s">
        <v>1</v>
      </c>
      <c r="B16" s="204" t="s">
        <v>78</v>
      </c>
      <c r="C16" s="138" t="s">
        <v>3</v>
      </c>
      <c r="D16" s="138" t="s">
        <v>4</v>
      </c>
      <c r="E16" s="138" t="s">
        <v>5</v>
      </c>
      <c r="F16" s="138" t="s">
        <v>6</v>
      </c>
      <c r="G16" s="138" t="s">
        <v>59</v>
      </c>
      <c r="H16" s="138" t="s">
        <v>60</v>
      </c>
      <c r="I16" s="215" t="s">
        <v>33</v>
      </c>
      <c r="J16" s="138" t="s">
        <v>34</v>
      </c>
      <c r="K16" s="194" t="s">
        <v>247</v>
      </c>
      <c r="L16" s="194" t="s">
        <v>12</v>
      </c>
    </row>
    <row r="17" spans="1:18" s="210" customFormat="1" ht="23.25" customHeight="1">
      <c r="A17" s="7">
        <v>1</v>
      </c>
      <c r="B17" s="224" t="s">
        <v>256</v>
      </c>
      <c r="C17" s="225" t="s">
        <v>26</v>
      </c>
      <c r="D17" s="114">
        <f>D5*12</f>
        <v>60000</v>
      </c>
      <c r="E17" s="226">
        <v>2000</v>
      </c>
      <c r="F17" s="235">
        <f>400/E17</f>
        <v>0.2</v>
      </c>
      <c r="G17" s="114">
        <f>D17/E17</f>
        <v>30</v>
      </c>
      <c r="H17" s="114">
        <f>G17*F17*E17</f>
        <v>12000</v>
      </c>
      <c r="I17" s="226">
        <v>66</v>
      </c>
      <c r="J17" s="117">
        <f>G17/I17</f>
        <v>0.45454545454545453</v>
      </c>
      <c r="K17" s="117">
        <f t="shared" ref="K17" si="6">J17*E17</f>
        <v>909.09090909090901</v>
      </c>
      <c r="L17" s="228" t="s">
        <v>322</v>
      </c>
      <c r="M17" s="229"/>
      <c r="R17" s="230"/>
    </row>
    <row r="18" spans="1:18" s="210" customFormat="1" ht="23.25" customHeight="1">
      <c r="A18" s="59">
        <v>2</v>
      </c>
      <c r="B18" s="224" t="s">
        <v>258</v>
      </c>
      <c r="C18" s="22" t="s">
        <v>249</v>
      </c>
      <c r="D18" s="53">
        <f>D6*9</f>
        <v>62100</v>
      </c>
      <c r="E18" s="72">
        <v>70</v>
      </c>
      <c r="F18" s="235">
        <f>400/E18</f>
        <v>5.7142857142857144</v>
      </c>
      <c r="G18" s="53">
        <f>D18/E18</f>
        <v>887.14285714285711</v>
      </c>
      <c r="H18" s="53">
        <f>G18*F18*E18</f>
        <v>354857.14285714284</v>
      </c>
      <c r="I18" s="216">
        <v>66</v>
      </c>
      <c r="J18" s="117">
        <f>G18/I18</f>
        <v>13.441558441558442</v>
      </c>
      <c r="K18" s="117">
        <f>J18*E18</f>
        <v>940.90909090909099</v>
      </c>
      <c r="L18" s="228" t="s">
        <v>322</v>
      </c>
      <c r="M18" s="229"/>
      <c r="R18" s="230"/>
    </row>
    <row r="19" spans="1:18" ht="33" customHeight="1">
      <c r="A19" s="758" t="s">
        <v>83</v>
      </c>
      <c r="B19" s="758"/>
      <c r="C19" s="11"/>
      <c r="D19" s="12"/>
      <c r="E19" s="12"/>
      <c r="F19" s="12"/>
      <c r="G19" s="192">
        <f>SUM(G17:G18)</f>
        <v>917.14285714285711</v>
      </c>
      <c r="H19" s="192">
        <f>SUM(H17:H18)</f>
        <v>366857.14285714284</v>
      </c>
      <c r="I19" s="214"/>
      <c r="J19" s="380">
        <f>SUM(J17:J18)</f>
        <v>13.896103896103897</v>
      </c>
      <c r="K19" s="759"/>
      <c r="L19" s="760"/>
      <c r="M19" s="112"/>
      <c r="R19" s="34"/>
    </row>
    <row r="20" spans="1:18" ht="36" customHeight="1">
      <c r="A20" s="745" t="s">
        <v>263</v>
      </c>
      <c r="B20" s="745"/>
      <c r="C20" s="745"/>
      <c r="D20" s="745"/>
      <c r="E20" s="745"/>
      <c r="F20" s="745"/>
      <c r="G20" s="745"/>
      <c r="H20" s="745"/>
      <c r="I20" s="745"/>
      <c r="J20" s="745"/>
      <c r="K20" s="745"/>
      <c r="L20" s="745"/>
      <c r="M20" s="112"/>
      <c r="R20" s="34"/>
    </row>
    <row r="21" spans="1:18" s="210" customFormat="1" ht="38.25" customHeight="1">
      <c r="A21" s="136" t="s">
        <v>1</v>
      </c>
      <c r="B21" s="211" t="s">
        <v>30</v>
      </c>
      <c r="C21" s="197" t="s">
        <v>3</v>
      </c>
      <c r="D21" s="138" t="s">
        <v>31</v>
      </c>
      <c r="E21" s="138" t="s">
        <v>5</v>
      </c>
      <c r="F21" s="138" t="s">
        <v>6</v>
      </c>
      <c r="G21" s="138" t="s">
        <v>32</v>
      </c>
      <c r="H21" s="138" t="s">
        <v>8</v>
      </c>
      <c r="I21" s="215" t="s">
        <v>254</v>
      </c>
      <c r="J21" s="138" t="s">
        <v>79</v>
      </c>
      <c r="K21" s="138" t="s">
        <v>247</v>
      </c>
      <c r="L21" s="198" t="s">
        <v>12</v>
      </c>
    </row>
    <row r="22" spans="1:18" s="210" customFormat="1" ht="24" customHeight="1">
      <c r="A22" s="7">
        <v>1</v>
      </c>
      <c r="B22" s="224" t="s">
        <v>256</v>
      </c>
      <c r="C22" s="109" t="s">
        <v>26</v>
      </c>
      <c r="D22" s="53">
        <f>D5*12</f>
        <v>60000</v>
      </c>
      <c r="E22" s="72">
        <v>2000</v>
      </c>
      <c r="F22" s="231">
        <f t="shared" ref="F22:F26" si="7">400/E22</f>
        <v>0.2</v>
      </c>
      <c r="G22" s="114">
        <f>D22/E22</f>
        <v>30</v>
      </c>
      <c r="H22" s="114">
        <f>G22*F22*E22</f>
        <v>12000</v>
      </c>
      <c r="I22" s="226">
        <v>54</v>
      </c>
      <c r="J22" s="117">
        <f t="shared" ref="J22:J24" si="8">G22/I22</f>
        <v>0.55555555555555558</v>
      </c>
      <c r="K22" s="114">
        <f t="shared" ref="K22:K25" si="9">J22*E22</f>
        <v>1111.1111111111111</v>
      </c>
      <c r="L22" s="228" t="s">
        <v>322</v>
      </c>
    </row>
    <row r="23" spans="1:18" s="210" customFormat="1" ht="29.25" customHeight="1">
      <c r="A23" s="226">
        <v>2</v>
      </c>
      <c r="B23" s="224" t="s">
        <v>258</v>
      </c>
      <c r="C23" s="72" t="s">
        <v>28</v>
      </c>
      <c r="D23" s="53">
        <f>D6*6</f>
        <v>41400</v>
      </c>
      <c r="E23" s="72">
        <v>250</v>
      </c>
      <c r="F23" s="231">
        <f t="shared" si="7"/>
        <v>1.6</v>
      </c>
      <c r="G23" s="114">
        <f t="shared" ref="G23:G26" si="10">D23/E23</f>
        <v>165.6</v>
      </c>
      <c r="H23" s="114">
        <f>G23*F23*E23</f>
        <v>66240</v>
      </c>
      <c r="I23" s="226">
        <v>54</v>
      </c>
      <c r="J23" s="117">
        <f t="shared" si="8"/>
        <v>3.0666666666666664</v>
      </c>
      <c r="K23" s="114">
        <f t="shared" si="9"/>
        <v>766.66666666666663</v>
      </c>
      <c r="L23" s="232" t="s">
        <v>322</v>
      </c>
    </row>
    <row r="24" spans="1:18" s="210" customFormat="1" ht="29.25" customHeight="1">
      <c r="A24" s="7">
        <v>3</v>
      </c>
      <c r="B24" s="224" t="s">
        <v>265</v>
      </c>
      <c r="C24" s="72" t="s">
        <v>26</v>
      </c>
      <c r="D24" s="53">
        <f>D25*3</f>
        <v>2070</v>
      </c>
      <c r="E24" s="72">
        <v>250</v>
      </c>
      <c r="F24" s="231">
        <f t="shared" si="7"/>
        <v>1.6</v>
      </c>
      <c r="G24" s="114">
        <f t="shared" si="10"/>
        <v>8.2799999999999994</v>
      </c>
      <c r="H24" s="114">
        <f t="shared" ref="H24:H26" si="11">G24*F24*E24</f>
        <v>3312</v>
      </c>
      <c r="I24" s="226">
        <v>54</v>
      </c>
      <c r="J24" s="117">
        <f t="shared" si="8"/>
        <v>0.15333333333333332</v>
      </c>
      <c r="K24" s="114">
        <f t="shared" si="9"/>
        <v>38.333333333333329</v>
      </c>
      <c r="L24" s="232"/>
    </row>
    <row r="25" spans="1:18" s="210" customFormat="1" ht="33.75" customHeight="1">
      <c r="A25" s="226">
        <v>4</v>
      </c>
      <c r="B25" s="233" t="s">
        <v>261</v>
      </c>
      <c r="C25" s="72" t="s">
        <v>28</v>
      </c>
      <c r="D25" s="114">
        <f>D6/100*10</f>
        <v>690</v>
      </c>
      <c r="E25" s="238">
        <v>50</v>
      </c>
      <c r="F25" s="231">
        <f t="shared" si="7"/>
        <v>8</v>
      </c>
      <c r="G25" s="114">
        <f t="shared" si="10"/>
        <v>13.8</v>
      </c>
      <c r="H25" s="114">
        <f t="shared" si="11"/>
        <v>5520</v>
      </c>
      <c r="I25" s="226">
        <v>54</v>
      </c>
      <c r="J25" s="117">
        <f>G25/I25</f>
        <v>0.25555555555555559</v>
      </c>
      <c r="K25" s="114">
        <f t="shared" si="9"/>
        <v>12.77777777777778</v>
      </c>
      <c r="L25" s="228"/>
    </row>
    <row r="26" spans="1:18" s="209" customFormat="1" ht="30.75" customHeight="1">
      <c r="A26" s="226">
        <v>5</v>
      </c>
      <c r="B26" s="378" t="s">
        <v>317</v>
      </c>
      <c r="C26" s="72" t="s">
        <v>28</v>
      </c>
      <c r="D26" s="114">
        <f>D25</f>
        <v>690</v>
      </c>
      <c r="E26" s="238">
        <v>250</v>
      </c>
      <c r="F26" s="231">
        <f t="shared" si="7"/>
        <v>1.6</v>
      </c>
      <c r="G26" s="114">
        <f t="shared" si="10"/>
        <v>2.76</v>
      </c>
      <c r="H26" s="114">
        <f t="shared" si="11"/>
        <v>1103.9999999999998</v>
      </c>
      <c r="I26" s="226">
        <v>33</v>
      </c>
      <c r="J26" s="369">
        <f t="shared" ref="J26" si="12">G26/I26</f>
        <v>8.3636363636363634E-2</v>
      </c>
      <c r="K26" s="370">
        <f>J26*E26</f>
        <v>20.90909090909091</v>
      </c>
      <c r="L26" s="228"/>
    </row>
    <row r="27" spans="1:18" ht="30.75" customHeight="1">
      <c r="A27" s="747" t="s">
        <v>80</v>
      </c>
      <c r="B27" s="747"/>
      <c r="C27" s="11"/>
      <c r="D27" s="12"/>
      <c r="E27" s="12">
        <v>0</v>
      </c>
      <c r="F27" s="12">
        <v>0</v>
      </c>
      <c r="G27" s="192">
        <f>SUM(G22:G25)</f>
        <v>217.68</v>
      </c>
      <c r="H27" s="192">
        <f>SUM(H22:H25)</f>
        <v>87072</v>
      </c>
      <c r="I27" s="214"/>
      <c r="J27" s="196">
        <f>SUM(J22:J25)</f>
        <v>4.0311111111111106</v>
      </c>
      <c r="K27" s="759"/>
      <c r="L27" s="760"/>
    </row>
    <row r="28" spans="1:18" ht="29.25" customHeight="1">
      <c r="A28" s="756" t="s">
        <v>255</v>
      </c>
      <c r="B28" s="756"/>
      <c r="C28" s="199"/>
      <c r="D28" s="199">
        <v>0</v>
      </c>
      <c r="E28" s="199">
        <v>0</v>
      </c>
      <c r="F28" s="200">
        <v>0</v>
      </c>
      <c r="G28" s="200">
        <f>SUM(G7+G14+G19+G27)</f>
        <v>1779.8014285714287</v>
      </c>
      <c r="H28" s="200">
        <f>SUM(H7+H14+H19+H27)</f>
        <v>711920.57142857136</v>
      </c>
      <c r="I28" s="217"/>
      <c r="J28" s="201"/>
      <c r="K28" s="202"/>
      <c r="L28" s="202"/>
    </row>
    <row r="29" spans="1:18" s="219" customFormat="1" ht="27.75" customHeight="1">
      <c r="A29" s="757" t="s">
        <v>266</v>
      </c>
      <c r="B29" s="757"/>
      <c r="C29" s="220"/>
      <c r="D29" s="220"/>
      <c r="E29" s="220"/>
      <c r="F29" s="220"/>
      <c r="G29" s="220"/>
      <c r="H29" s="383">
        <f>H28/68.34</f>
        <v>10417.333500564404</v>
      </c>
      <c r="I29" s="222"/>
      <c r="J29" s="223"/>
      <c r="K29" s="223"/>
      <c r="L29" s="220"/>
    </row>
    <row r="30" spans="1:18" s="244" customFormat="1" ht="26.25" customHeight="1">
      <c r="A30" s="721" t="s">
        <v>321</v>
      </c>
      <c r="B30" s="721"/>
      <c r="C30" s="721"/>
      <c r="D30" s="68"/>
      <c r="E30" s="68"/>
      <c r="F30" s="176"/>
      <c r="G30" s="68" t="s">
        <v>44</v>
      </c>
      <c r="H30" s="68" t="s">
        <v>217</v>
      </c>
      <c r="J30" s="248"/>
      <c r="L30" s="68"/>
    </row>
    <row r="31" spans="1:18" s="244" customFormat="1" ht="54.75" customHeight="1">
      <c r="A31" s="267" t="s">
        <v>318</v>
      </c>
      <c r="B31" s="268"/>
      <c r="C31" s="269" t="s">
        <v>48</v>
      </c>
      <c r="D31" s="270"/>
      <c r="E31" s="270"/>
      <c r="F31" s="269" t="s">
        <v>200</v>
      </c>
      <c r="G31" s="39"/>
      <c r="H31" s="324"/>
      <c r="I31" s="270" t="s">
        <v>320</v>
      </c>
      <c r="J31" s="324" t="s">
        <v>49</v>
      </c>
      <c r="K31" s="324"/>
      <c r="L31" s="39"/>
    </row>
    <row r="32" spans="1:18" s="244" customFormat="1" ht="27" customHeight="1">
      <c r="A32" s="271"/>
      <c r="B32" s="272"/>
      <c r="C32" s="271" t="s">
        <v>286</v>
      </c>
      <c r="D32" s="271"/>
      <c r="E32" s="271"/>
      <c r="F32" s="244" t="s">
        <v>52</v>
      </c>
      <c r="G32" s="271"/>
      <c r="H32" s="325"/>
      <c r="I32" s="271"/>
      <c r="J32" s="325" t="s">
        <v>54</v>
      </c>
      <c r="K32" s="326"/>
      <c r="L32" s="323" t="s">
        <v>81</v>
      </c>
    </row>
  </sheetData>
  <mergeCells count="19">
    <mergeCell ref="K27:L27"/>
    <mergeCell ref="A28:B28"/>
    <mergeCell ref="A29:B29"/>
    <mergeCell ref="A30:C30"/>
    <mergeCell ref="A19:B19"/>
    <mergeCell ref="K19:L19"/>
    <mergeCell ref="A20:L20"/>
    <mergeCell ref="A27:B27"/>
    <mergeCell ref="A1:L1"/>
    <mergeCell ref="A2:L2"/>
    <mergeCell ref="A3:L3"/>
    <mergeCell ref="A4:B4"/>
    <mergeCell ref="A7:B7"/>
    <mergeCell ref="K7:L7"/>
    <mergeCell ref="A8:L8"/>
    <mergeCell ref="A9:B9"/>
    <mergeCell ref="A14:B14"/>
    <mergeCell ref="K14:L14"/>
    <mergeCell ref="A15:L15"/>
  </mergeCells>
  <printOptions horizontalCentered="1"/>
  <pageMargins left="0.35" right="0.36" top="0.32" bottom="0.28999999999999998" header="0.17" footer="0.18"/>
  <pageSetup paperSize="9" scale="5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31"/>
  <sheetViews>
    <sheetView view="pageBreakPreview" zoomScale="70" zoomScaleSheetLayoutView="70" workbookViewId="0">
      <pane ySplit="5" topLeftCell="A6" activePane="bottomLeft" state="frozen"/>
      <selection pane="bottomLeft" activeCell="B6" sqref="B6"/>
    </sheetView>
  </sheetViews>
  <sheetFormatPr defaultColWidth="9.125" defaultRowHeight="15"/>
  <cols>
    <col min="1" max="1" width="6.875" style="120" customWidth="1"/>
    <col min="2" max="2" width="52" style="464" customWidth="1"/>
    <col min="3" max="3" width="14.125" style="120" customWidth="1"/>
    <col min="4" max="4" width="18.125" style="120" customWidth="1"/>
    <col min="5" max="5" width="15" style="120" customWidth="1"/>
    <col min="6" max="6" width="16.625" style="120" customWidth="1"/>
    <col min="7" max="7" width="15.25" style="120" customWidth="1"/>
    <col min="8" max="8" width="20.875" style="120" customWidth="1"/>
    <col min="9" max="11" width="16.125" style="120" customWidth="1"/>
    <col min="12" max="12" width="18.75" style="120" customWidth="1"/>
    <col min="13" max="13" width="23.875" style="120" customWidth="1"/>
    <col min="14" max="16384" width="9.125" style="120"/>
  </cols>
  <sheetData>
    <row r="1" spans="1:14" ht="21">
      <c r="A1" s="813" t="s">
        <v>365</v>
      </c>
      <c r="B1" s="814"/>
      <c r="C1" s="814"/>
      <c r="D1" s="814"/>
      <c r="E1" s="814"/>
      <c r="F1" s="814"/>
      <c r="G1" s="814"/>
      <c r="H1" s="814"/>
      <c r="I1" s="814"/>
      <c r="J1" s="814"/>
      <c r="K1" s="814"/>
      <c r="L1" s="814"/>
      <c r="M1" s="815"/>
    </row>
    <row r="2" spans="1:14" ht="18.75">
      <c r="A2" s="816" t="s">
        <v>364</v>
      </c>
      <c r="B2" s="816"/>
      <c r="C2" s="816"/>
      <c r="D2" s="816"/>
      <c r="E2" s="816"/>
      <c r="F2" s="816"/>
      <c r="G2" s="816"/>
      <c r="H2" s="816"/>
      <c r="I2" s="816"/>
      <c r="J2" s="816"/>
      <c r="K2" s="816"/>
      <c r="L2" s="816"/>
      <c r="M2" s="816"/>
    </row>
    <row r="3" spans="1:14" ht="21">
      <c r="A3" s="817" t="s">
        <v>543</v>
      </c>
      <c r="B3" s="818"/>
      <c r="C3" s="818"/>
      <c r="D3" s="818"/>
      <c r="E3" s="818"/>
      <c r="F3" s="818"/>
      <c r="G3" s="818"/>
      <c r="H3" s="818"/>
      <c r="I3" s="818"/>
      <c r="J3" s="818"/>
      <c r="K3" s="818"/>
      <c r="L3" s="818"/>
      <c r="M3" s="819"/>
    </row>
    <row r="4" spans="1:14" ht="29.25" customHeight="1">
      <c r="A4" s="820" t="s">
        <v>345</v>
      </c>
      <c r="B4" s="821"/>
      <c r="C4" s="821"/>
      <c r="D4" s="821"/>
      <c r="E4" s="821"/>
      <c r="F4" s="821"/>
      <c r="G4" s="821"/>
      <c r="H4" s="821"/>
      <c r="I4" s="821"/>
      <c r="J4" s="821"/>
      <c r="K4" s="821"/>
      <c r="L4" s="821"/>
      <c r="M4" s="822"/>
    </row>
    <row r="5" spans="1:14" ht="38.25" customHeight="1">
      <c r="A5" s="29" t="s">
        <v>332</v>
      </c>
      <c r="B5" s="555" t="s">
        <v>333</v>
      </c>
      <c r="C5" s="398" t="s">
        <v>66</v>
      </c>
      <c r="D5" s="398" t="s">
        <v>342</v>
      </c>
      <c r="E5" s="398" t="s">
        <v>334</v>
      </c>
      <c r="F5" s="398" t="s">
        <v>335</v>
      </c>
      <c r="G5" s="398" t="s">
        <v>336</v>
      </c>
      <c r="H5" s="398" t="s">
        <v>337</v>
      </c>
      <c r="I5" s="399" t="s">
        <v>338</v>
      </c>
      <c r="J5" s="399" t="s">
        <v>339</v>
      </c>
      <c r="K5" s="30" t="s">
        <v>340</v>
      </c>
      <c r="L5" s="31" t="s">
        <v>341</v>
      </c>
      <c r="M5" s="136" t="s">
        <v>69</v>
      </c>
    </row>
    <row r="6" spans="1:14" ht="30" customHeight="1">
      <c r="A6" s="108">
        <v>1</v>
      </c>
      <c r="B6" s="498" t="s">
        <v>327</v>
      </c>
      <c r="C6" s="364" t="s">
        <v>72</v>
      </c>
      <c r="D6" s="167">
        <f>N.Ghuzargha1!D10+N.Ghuzargha1!D19+N.Ghuzargha2!D10+N.Ghuzargha2!D19+N.DahMorad!D10+N.DahMorad!D19+N.Qargha!D10+N.Qargha!D19+N.Paghman!D10+N.Paghman!D19+N.J.Markaz!D10+N.J.Markaz!D19+'N.Bi Bi Mehro'!D10+'N.Bi Bi Mehro'!D19</f>
        <v>80000</v>
      </c>
      <c r="E6" s="168">
        <v>80</v>
      </c>
      <c r="F6" s="168">
        <f t="shared" ref="F6:F12" si="0">400/E6</f>
        <v>5</v>
      </c>
      <c r="G6" s="168">
        <f>D6*1/E6</f>
        <v>1000</v>
      </c>
      <c r="H6" s="168">
        <f>F6*D6</f>
        <v>400000</v>
      </c>
      <c r="I6" s="167"/>
      <c r="J6" s="169">
        <f>N.Ghuzargha1!H10+N.Ghuzargha2!H10+N.DahMorad!H10+N.Qargha!H10+N.Paghman!H10+N.J.Markaz!H10+'N.Bi Bi Mehro'!H10</f>
        <v>190000</v>
      </c>
      <c r="K6" s="169"/>
      <c r="L6" s="170">
        <f>N.Ghuzargha1!H19+N.Ghuzargha2!H19+N.DahMorad!H19+N.Qargha!H19+N.Paghman!H19+N.J.Markaz!H19+'N.Bi Bi Mehro'!H19</f>
        <v>210000</v>
      </c>
      <c r="M6" s="18"/>
    </row>
    <row r="7" spans="1:14" ht="38.25" customHeight="1">
      <c r="A7" s="108">
        <v>2</v>
      </c>
      <c r="B7" s="442" t="s">
        <v>328</v>
      </c>
      <c r="C7" s="364" t="s">
        <v>72</v>
      </c>
      <c r="D7" s="167">
        <f>N.Ghuzargha1!D24+N.Ghuzargha2!D24+N.DahMorad!D24+N.Qargha!D24+N.Paghman!D24+N.J.Markaz!D24+'N.Bi Bi Mehro'!D24</f>
        <v>20000</v>
      </c>
      <c r="E7" s="168">
        <v>300</v>
      </c>
      <c r="F7" s="168">
        <f t="shared" si="0"/>
        <v>1.3333333333333333</v>
      </c>
      <c r="G7" s="168">
        <f t="shared" ref="G7:G12" si="1">D7*1/E7</f>
        <v>66.666666666666671</v>
      </c>
      <c r="H7" s="168">
        <f>F7*D7</f>
        <v>26666.666666666664</v>
      </c>
      <c r="I7" s="167"/>
      <c r="J7" s="169"/>
      <c r="K7" s="169"/>
      <c r="L7" s="170">
        <f>N.Ghuzargha1!H24+N.Ghuzargha2!H24+N.DahMorad!H24+N.Qargha!H24+N.Paghman!H24+N.J.Markaz!H24+'N.Bi Bi Mehro'!H24</f>
        <v>26666.666666666668</v>
      </c>
      <c r="M7" s="18"/>
    </row>
    <row r="8" spans="1:14" ht="38.25" customHeight="1">
      <c r="A8" s="108">
        <v>4</v>
      </c>
      <c r="B8" s="556" t="s">
        <v>544</v>
      </c>
      <c r="C8" s="364" t="s">
        <v>73</v>
      </c>
      <c r="D8" s="167">
        <f>N.Ghuzargha1!D25+N.Ghuzargha2!D25+N.DahMorad!D25+N.Qargha!D25+N.Paghman!D25+N.J.Markaz!D25+'N.Bi Bi Mehro'!D25</f>
        <v>188000</v>
      </c>
      <c r="E8" s="168">
        <v>250</v>
      </c>
      <c r="F8" s="168">
        <f t="shared" si="0"/>
        <v>1.6</v>
      </c>
      <c r="G8" s="168">
        <f t="shared" si="1"/>
        <v>752</v>
      </c>
      <c r="H8" s="168">
        <f t="shared" ref="H8:H11" si="2">F8*D8</f>
        <v>300800</v>
      </c>
      <c r="I8" s="167"/>
      <c r="J8" s="169"/>
      <c r="K8" s="169"/>
      <c r="L8" s="170">
        <f>N.Ghuzargha1!H25+N.Ghuzargha2!H25+N.DahMorad!H25+N.Qargha!H25+N.Paghman!H25+N.J.Markaz!H25+'N.Bi Bi Mehro'!H25</f>
        <v>300800</v>
      </c>
      <c r="M8" s="18"/>
    </row>
    <row r="9" spans="1:14" ht="38.25" customHeight="1">
      <c r="A9" s="108">
        <v>5</v>
      </c>
      <c r="B9" s="574" t="s">
        <v>329</v>
      </c>
      <c r="C9" s="364" t="s">
        <v>72</v>
      </c>
      <c r="D9" s="167">
        <f>N.Ghuzargha1!D20+N.Ghuzargha1!D15+N.Ghuzargha1!D11+N.Ghuzargha2!D20+N.Ghuzargha2!D15+N.Ghuzargha2!D11+N.DahMorad!D20+N.DahMorad!D15+N.DahMorad!D11+N.Qargha!D20+N.Qargha!D15+N.Qargha!D11+N.Paghman!D20+N.Paghman!D15+N.Paghman!D11+N.J.Markaz!D20+N.J.Markaz!D15+N.J.Markaz!D11+'N.Bi Bi Mehro'!D20+'N.Bi Bi Mehro'!D15+'N.Bi Bi Mehro'!D11</f>
        <v>243000</v>
      </c>
      <c r="E9" s="168">
        <v>80</v>
      </c>
      <c r="F9" s="168">
        <f t="shared" si="0"/>
        <v>5</v>
      </c>
      <c r="G9" s="168">
        <f t="shared" si="1"/>
        <v>3037.5</v>
      </c>
      <c r="H9" s="168">
        <f>F9*D9</f>
        <v>1215000</v>
      </c>
      <c r="I9" s="167"/>
      <c r="J9" s="169">
        <f>N.Ghuzargha1!H11+N.Ghuzargha2!H11+N.DahMorad!H11+N.Qargha!H11+N.Paghman!H11+N.J.Markaz!H11+'N.Bi Bi Mehro'!H11</f>
        <v>405000</v>
      </c>
      <c r="K9" s="169">
        <f>N.Ghuzargha1!H15+N.Ghuzargha2!H15+N.DahMorad!H15+N.Qargha!H15+N.Paghman!H15+N.J.Markaz!H15+'N.Bi Bi Mehro'!H15</f>
        <v>405000</v>
      </c>
      <c r="L9" s="170">
        <f>N.Ghuzargha1!H20+N.Ghuzargha2!H20+N.DahMorad!H20+N.Qargha!H20+N.Paghman!H20+N.J.Markaz!H20+'N.Bi Bi Mehro'!H20</f>
        <v>405000</v>
      </c>
      <c r="M9" s="18"/>
    </row>
    <row r="10" spans="1:14" s="36" customFormat="1" ht="38.25" customHeight="1">
      <c r="A10" s="108">
        <v>6</v>
      </c>
      <c r="B10" s="574" t="s">
        <v>330</v>
      </c>
      <c r="C10" s="364" t="s">
        <v>343</v>
      </c>
      <c r="D10" s="171">
        <f>N.Ghuzargha1!D21+N.Ghuzargha1!D12+N.Ghuzargha2!D21+N.Ghuzargha2!D12+N.DahMorad!D21+N.DahMorad!D12+N.Qargha!D21+N.Qargha!D12+N.Paghman!D21+N.Paghman!D12+N.J.Markaz!D21+N.J.Markaz!D12+'N.Bi Bi Mehro'!D21+'N.Bi Bi Mehro'!D12</f>
        <v>200000</v>
      </c>
      <c r="E10" s="171">
        <v>250</v>
      </c>
      <c r="F10" s="168">
        <f t="shared" si="0"/>
        <v>1.6</v>
      </c>
      <c r="G10" s="168">
        <f t="shared" si="1"/>
        <v>800</v>
      </c>
      <c r="H10" s="168">
        <f t="shared" si="2"/>
        <v>320000</v>
      </c>
      <c r="I10" s="171"/>
      <c r="J10" s="169">
        <f>N.Ghuzargha1!H12+N.Ghuzargha2!H12+N.DahMorad!H12+N.Qargha!H12+N.Paghman!H12+N.J.Markaz!H12+'N.Bi Bi Mehro'!H12</f>
        <v>120000</v>
      </c>
      <c r="K10" s="172"/>
      <c r="L10" s="173">
        <f>N.Ghuzargha1!H21+N.Ghuzargha2!H21+N.DahMorad!H21+N.Qargha!H21+N.Paghman!H21+N.J.Markaz!H21+'N.Bi Bi Mehro'!H21</f>
        <v>200000</v>
      </c>
      <c r="M10" s="35"/>
    </row>
    <row r="11" spans="1:14" ht="38.25" customHeight="1">
      <c r="A11" s="108">
        <v>7</v>
      </c>
      <c r="B11" s="575" t="s">
        <v>545</v>
      </c>
      <c r="C11" s="364" t="s">
        <v>344</v>
      </c>
      <c r="D11" s="362">
        <f>N.Ghuzargha1!D16+N.Ghuzargha1!D22+N.Ghuzargha2!D22+N.Ghuzargha2!D16+N.DahMorad!D22+N.DahMorad!D16+N.Qargha!D22+N.Qargha!D16+N.Paghman!D22+N.Paghman!D16+N.J.Markaz!D22+N.J.Markaz!D16+'N.Bi Bi Mehro'!D22+'N.Bi Bi Mehro'!D16</f>
        <v>100</v>
      </c>
      <c r="E11" s="162">
        <v>1</v>
      </c>
      <c r="F11" s="168">
        <f t="shared" si="0"/>
        <v>400</v>
      </c>
      <c r="G11" s="168">
        <f t="shared" si="1"/>
        <v>100</v>
      </c>
      <c r="H11" s="168">
        <f t="shared" si="2"/>
        <v>40000</v>
      </c>
      <c r="I11" s="169"/>
      <c r="J11" s="169"/>
      <c r="K11" s="169">
        <f>N.Ghuzargha1!H16+N.Ghuzargha2!H16+N.DahMorad!H16+N.Qargha!H16+N.Paghman!H16+N.J.Markaz!H16+'N.Bi Bi Mehro'!H16</f>
        <v>19200</v>
      </c>
      <c r="L11" s="173">
        <f>N.Ghuzargha1!H22+N.Ghuzargha2!H22+N.DahMorad!H22+N.Qargha!H22+N.Paghman!H22+N.J.Markaz!H22+'N.Bi Bi Mehro'!H22</f>
        <v>20800</v>
      </c>
      <c r="M11" s="396"/>
    </row>
    <row r="12" spans="1:14" ht="38.25" customHeight="1">
      <c r="A12" s="108">
        <v>8</v>
      </c>
      <c r="B12" s="575" t="s">
        <v>331</v>
      </c>
      <c r="C12" s="364" t="s">
        <v>343</v>
      </c>
      <c r="D12" s="362">
        <f>N.Ghuzargha1!D23+N.Ghuzargha1!D7+N.Ghuzargha2!D23+N.Ghuzargha2!D7+N.DahMorad!D23+N.DahMorad!D7+N.Qargha!D23+N.Qargha!D7+N.Paghman!D23+N.Paghman!D7+N.J.Markaz!D23+N.J.Markaz!D7+'N.Bi Bi Mehro'!D23+'N.Bi Bi Mehro'!D7</f>
        <v>250000</v>
      </c>
      <c r="E12" s="162">
        <v>60</v>
      </c>
      <c r="F12" s="168">
        <f t="shared" si="0"/>
        <v>6.666666666666667</v>
      </c>
      <c r="G12" s="168">
        <f t="shared" si="1"/>
        <v>4166.666666666667</v>
      </c>
      <c r="H12" s="168">
        <f>F12*D12</f>
        <v>1666666.6666666667</v>
      </c>
      <c r="I12" s="167">
        <f>N.Ghuzargha1!H7+N.Ghuzargha2!H7+N.DahMorad!H7+N.Qargha!H7+N.Paghman!H7+N.J.Markaz!H7+'N.Bi Bi Mehro'!H7</f>
        <v>620000</v>
      </c>
      <c r="J12" s="169"/>
      <c r="K12" s="169"/>
      <c r="L12" s="169">
        <f>N.Ghuzargha1!H23+N.Ghuzargha2!H23+N.DahMorad!H23+N.Qargha!H23+N.Paghman!H23+N.J.Markaz!H23+'N.Bi Bi Mehro'!H23</f>
        <v>1046666.6666666667</v>
      </c>
      <c r="M12" s="396"/>
    </row>
    <row r="13" spans="1:14" ht="28.5" customHeight="1">
      <c r="A13" s="827" t="s">
        <v>346</v>
      </c>
      <c r="B13" s="827"/>
      <c r="C13" s="69"/>
      <c r="D13" s="70"/>
      <c r="E13" s="70"/>
      <c r="F13" s="70"/>
      <c r="G13" s="71"/>
      <c r="H13" s="363">
        <f>SUM(H6:H12)</f>
        <v>3969133.333333334</v>
      </c>
      <c r="I13" s="183">
        <f>SUM(I6:I12)</f>
        <v>620000</v>
      </c>
      <c r="J13" s="183">
        <f>SUM(J6:J12)</f>
        <v>715000</v>
      </c>
      <c r="K13" s="183">
        <f>SUM(K6:K12)</f>
        <v>424200</v>
      </c>
      <c r="L13" s="183">
        <f>SUM(L6:L12)</f>
        <v>2209933.333333333</v>
      </c>
      <c r="M13" s="184"/>
    </row>
    <row r="14" spans="1:14" ht="24" customHeight="1">
      <c r="A14" s="828" t="s">
        <v>347</v>
      </c>
      <c r="B14" s="828"/>
      <c r="C14" s="178"/>
      <c r="D14" s="179"/>
      <c r="E14" s="179"/>
      <c r="F14" s="180">
        <f>D12*F12</f>
        <v>1666666.6666666667</v>
      </c>
      <c r="G14" s="180"/>
      <c r="H14" s="180">
        <f>H13/68.34</f>
        <v>58079.211784216182</v>
      </c>
      <c r="I14" s="180"/>
      <c r="J14" s="180"/>
      <c r="K14" s="181"/>
      <c r="L14" s="182"/>
      <c r="M14" s="182"/>
    </row>
    <row r="15" spans="1:14" s="425" customFormat="1" ht="41.25" customHeight="1">
      <c r="A15" s="823" t="s">
        <v>546</v>
      </c>
      <c r="B15" s="823"/>
      <c r="C15" s="824" t="s">
        <v>547</v>
      </c>
      <c r="D15" s="824"/>
      <c r="E15" s="824" t="s">
        <v>467</v>
      </c>
      <c r="F15" s="824"/>
      <c r="G15" s="576"/>
      <c r="H15" s="576" t="s">
        <v>548</v>
      </c>
      <c r="I15" s="244"/>
      <c r="J15" s="420"/>
      <c r="K15" s="244" t="s">
        <v>562</v>
      </c>
      <c r="L15" s="586"/>
      <c r="M15" s="421"/>
      <c r="N15" s="120"/>
    </row>
    <row r="16" spans="1:14" s="425" customFormat="1" ht="18.75">
      <c r="A16" s="829" t="s">
        <v>465</v>
      </c>
      <c r="B16" s="829"/>
      <c r="C16" s="830" t="s">
        <v>466</v>
      </c>
      <c r="D16" s="830"/>
      <c r="E16" s="831" t="s">
        <v>468</v>
      </c>
      <c r="F16" s="831"/>
      <c r="G16" s="244"/>
      <c r="H16" s="244" t="s">
        <v>549</v>
      </c>
      <c r="J16" s="420"/>
      <c r="K16" s="244" t="s">
        <v>551</v>
      </c>
      <c r="L16" s="244"/>
      <c r="M16" s="421"/>
      <c r="N16" s="120"/>
    </row>
    <row r="17" spans="1:14" s="425" customFormat="1" ht="40.5" customHeight="1">
      <c r="A17" s="832" t="s">
        <v>556</v>
      </c>
      <c r="B17" s="832"/>
      <c r="C17" s="825" t="s">
        <v>476</v>
      </c>
      <c r="D17" s="825"/>
      <c r="E17" s="826" t="s">
        <v>469</v>
      </c>
      <c r="F17" s="826"/>
      <c r="G17" s="581"/>
      <c r="H17" s="581" t="s">
        <v>550</v>
      </c>
      <c r="J17" s="455"/>
      <c r="K17" s="326" t="s">
        <v>563</v>
      </c>
      <c r="L17" s="581"/>
      <c r="M17" s="421"/>
      <c r="N17" s="120"/>
    </row>
    <row r="18" spans="1:14" s="433" customFormat="1" ht="55.5" customHeight="1">
      <c r="A18" s="578"/>
      <c r="B18" s="454"/>
      <c r="C18" s="579"/>
      <c r="D18" s="580"/>
      <c r="E18" s="785" t="s">
        <v>470</v>
      </c>
      <c r="F18" s="785"/>
      <c r="G18" s="271"/>
      <c r="H18" s="271"/>
      <c r="I18" s="326"/>
      <c r="J18" s="582"/>
      <c r="K18" s="582"/>
      <c r="L18" s="271"/>
      <c r="M18" s="583"/>
      <c r="N18" s="120"/>
    </row>
    <row r="19" spans="1:14" s="433" customFormat="1" ht="18.75">
      <c r="A19" s="579"/>
      <c r="B19" s="579"/>
      <c r="C19" s="579"/>
      <c r="D19" s="579"/>
      <c r="E19" s="826" t="s">
        <v>471</v>
      </c>
      <c r="F19" s="826"/>
      <c r="G19" s="271"/>
      <c r="H19" s="271"/>
      <c r="I19" s="271"/>
      <c r="J19" s="326"/>
      <c r="K19" s="326" t="s">
        <v>472</v>
      </c>
      <c r="L19" s="453"/>
      <c r="M19" s="430"/>
      <c r="N19" s="120"/>
    </row>
    <row r="20" spans="1:14" s="264" customFormat="1" ht="18.75">
      <c r="A20" s="579"/>
      <c r="B20" s="579"/>
      <c r="C20" s="579"/>
      <c r="D20" s="579"/>
      <c r="E20" s="579"/>
      <c r="F20" s="579"/>
      <c r="G20" s="579"/>
      <c r="H20" s="579"/>
      <c r="I20" s="579"/>
      <c r="K20" s="326" t="s">
        <v>564</v>
      </c>
      <c r="N20" s="120"/>
    </row>
    <row r="21" spans="1:14" s="425" customFormat="1" ht="29.25" customHeight="1">
      <c r="A21" s="579"/>
      <c r="B21" s="579"/>
      <c r="C21" s="579"/>
      <c r="D21" s="579"/>
      <c r="E21" s="579"/>
      <c r="F21" s="176"/>
      <c r="G21" s="176"/>
      <c r="H21" s="176"/>
      <c r="I21" s="579"/>
      <c r="J21" s="587"/>
      <c r="K21" s="587" t="s">
        <v>555</v>
      </c>
      <c r="L21" s="176"/>
      <c r="M21" s="421"/>
      <c r="N21" s="120"/>
    </row>
    <row r="22" spans="1:14" s="425" customFormat="1" ht="23.25" customHeight="1">
      <c r="A22" s="579"/>
      <c r="B22" s="579"/>
      <c r="C22" s="579"/>
      <c r="D22" s="579"/>
      <c r="E22" s="579"/>
      <c r="F22" s="176"/>
      <c r="G22" s="176"/>
      <c r="H22" s="176"/>
      <c r="I22" s="244"/>
      <c r="J22" s="420"/>
      <c r="K22" s="244"/>
      <c r="L22" s="176"/>
      <c r="M22" s="421"/>
      <c r="N22" s="120"/>
    </row>
    <row r="23" spans="1:14" s="425" customFormat="1" ht="29.25" customHeight="1">
      <c r="A23" s="417"/>
      <c r="B23" s="418"/>
      <c r="C23" s="417"/>
      <c r="D23" s="417"/>
      <c r="E23" s="775"/>
      <c r="F23" s="775"/>
      <c r="G23" s="775"/>
      <c r="H23" s="176"/>
      <c r="I23" s="244"/>
      <c r="J23" s="420"/>
      <c r="K23" s="244"/>
      <c r="L23" s="176"/>
      <c r="M23" s="421"/>
    </row>
    <row r="24" spans="1:14" s="425" customFormat="1" ht="40.5" customHeight="1">
      <c r="A24" s="417"/>
      <c r="B24" s="426"/>
      <c r="C24" s="543"/>
      <c r="D24" s="543"/>
      <c r="E24" s="775"/>
      <c r="F24" s="775"/>
      <c r="G24" s="775"/>
      <c r="H24" s="271"/>
      <c r="I24" s="384"/>
      <c r="J24" s="434"/>
      <c r="K24" s="434"/>
      <c r="L24" s="270"/>
      <c r="M24" s="421"/>
    </row>
    <row r="25" spans="1:14" s="425" customFormat="1" ht="51.75" customHeight="1">
      <c r="A25" s="812"/>
      <c r="B25" s="812"/>
      <c r="C25" s="415"/>
      <c r="D25" s="415"/>
      <c r="E25" s="270"/>
      <c r="F25" s="270"/>
      <c r="G25" s="270"/>
      <c r="H25" s="270"/>
      <c r="I25" s="785"/>
      <c r="J25" s="785"/>
      <c r="K25" s="427"/>
      <c r="L25" s="427"/>
      <c r="M25" s="427"/>
    </row>
    <row r="26" spans="1:14" s="425" customFormat="1" ht="22.5" customHeight="1">
      <c r="A26" s="448"/>
      <c r="B26" s="553"/>
      <c r="C26" s="244"/>
      <c r="D26" s="244"/>
      <c r="E26" s="244"/>
      <c r="F26" s="244"/>
      <c r="G26" s="271"/>
      <c r="H26" s="271"/>
      <c r="I26" s="785"/>
      <c r="J26" s="785"/>
      <c r="K26" s="434"/>
      <c r="L26" s="270"/>
      <c r="M26" s="456"/>
    </row>
    <row r="27" spans="1:14" s="433" customFormat="1" ht="31.5" customHeight="1">
      <c r="A27" s="270"/>
      <c r="B27" s="443"/>
      <c r="C27" s="244"/>
      <c r="D27" s="244"/>
      <c r="E27" s="271"/>
      <c r="F27" s="271"/>
      <c r="G27" s="271"/>
      <c r="H27" s="271"/>
      <c r="I27" s="271"/>
      <c r="J27" s="271"/>
      <c r="K27" s="271"/>
      <c r="L27" s="445"/>
      <c r="M27" s="430"/>
    </row>
    <row r="28" spans="1:14" s="244" customFormat="1" ht="26.25" customHeight="1">
      <c r="A28" s="577"/>
      <c r="B28" s="577"/>
      <c r="C28" s="577"/>
      <c r="D28" s="68"/>
      <c r="E28" s="68"/>
      <c r="F28" s="176"/>
      <c r="G28" s="68"/>
      <c r="H28" s="68"/>
      <c r="J28" s="248"/>
      <c r="L28" s="68"/>
    </row>
    <row r="29" spans="1:14" s="244" customFormat="1" ht="26.25" customHeight="1">
      <c r="A29" s="267"/>
      <c r="B29" s="531"/>
      <c r="C29" s="269"/>
      <c r="D29" s="270"/>
      <c r="E29" s="269"/>
      <c r="F29" s="269"/>
      <c r="G29" s="384"/>
      <c r="H29" s="324"/>
      <c r="I29" s="384"/>
      <c r="J29" s="324"/>
      <c r="K29" s="324"/>
      <c r="L29" s="39"/>
    </row>
    <row r="30" spans="1:14" s="244" customFormat="1" ht="26.25" customHeight="1">
      <c r="A30" s="271"/>
      <c r="B30" s="535"/>
      <c r="C30" s="271"/>
      <c r="D30" s="271"/>
      <c r="G30" s="271"/>
      <c r="H30" s="325"/>
      <c r="I30" s="271"/>
      <c r="J30" s="325"/>
      <c r="K30" s="323"/>
      <c r="L30" s="323"/>
    </row>
    <row r="31" spans="1:14" ht="15" hidden="1" customHeight="1">
      <c r="A31" s="242"/>
      <c r="B31" s="557"/>
      <c r="C31" s="245"/>
      <c r="D31" s="246"/>
      <c r="E31" s="246"/>
      <c r="F31" s="246"/>
      <c r="G31" s="246"/>
      <c r="H31" s="246"/>
      <c r="I31" s="246"/>
      <c r="J31" s="246"/>
    </row>
  </sheetData>
  <mergeCells count="22">
    <mergeCell ref="C17:D17"/>
    <mergeCell ref="E17:F17"/>
    <mergeCell ref="E18:F18"/>
    <mergeCell ref="E19:F19"/>
    <mergeCell ref="A13:B13"/>
    <mergeCell ref="A14:B14"/>
    <mergeCell ref="A16:B16"/>
    <mergeCell ref="C16:D16"/>
    <mergeCell ref="E16:F16"/>
    <mergeCell ref="A17:B17"/>
    <mergeCell ref="A1:M1"/>
    <mergeCell ref="A2:M2"/>
    <mergeCell ref="A3:M3"/>
    <mergeCell ref="A4:M4"/>
    <mergeCell ref="A15:B15"/>
    <mergeCell ref="C15:D15"/>
    <mergeCell ref="E15:F15"/>
    <mergeCell ref="E23:G23"/>
    <mergeCell ref="E24:G24"/>
    <mergeCell ref="A25:B25"/>
    <mergeCell ref="I26:J26"/>
    <mergeCell ref="I25:J25"/>
  </mergeCells>
  <pageMargins left="0.48" right="0.7" top="0.75" bottom="0.75" header="0.3" footer="0.3"/>
  <pageSetup paperSize="9" scale="53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F0"/>
    <pageSetUpPr fitToPage="1"/>
  </sheetPr>
  <dimension ref="A1:Q61"/>
  <sheetViews>
    <sheetView view="pageBreakPreview" zoomScale="70" zoomScaleSheetLayoutView="70" workbookViewId="0">
      <selection activeCell="A43" sqref="A43:B43"/>
    </sheetView>
  </sheetViews>
  <sheetFormatPr defaultRowHeight="15"/>
  <cols>
    <col min="1" max="1" width="7.125" customWidth="1"/>
    <col min="2" max="2" width="64.25" style="464" customWidth="1"/>
    <col min="3" max="3" width="12.625" customWidth="1"/>
    <col min="4" max="4" width="15.625" customWidth="1"/>
    <col min="5" max="5" width="14" customWidth="1"/>
    <col min="6" max="6" width="16" customWidth="1"/>
    <col min="7" max="7" width="13.25" customWidth="1"/>
    <col min="8" max="8" width="17.625" customWidth="1"/>
    <col min="9" max="9" width="14.875" customWidth="1"/>
    <col min="10" max="10" width="15" customWidth="1"/>
    <col min="11" max="11" width="15.375" customWidth="1"/>
    <col min="12" max="12" width="16.375" customWidth="1"/>
    <col min="13" max="13" width="23.375" customWidth="1"/>
    <col min="14" max="14" width="16.625" customWidth="1"/>
  </cols>
  <sheetData>
    <row r="1" spans="1:16" ht="43.5" customHeight="1">
      <c r="A1" s="813" t="s">
        <v>365</v>
      </c>
      <c r="B1" s="814"/>
      <c r="C1" s="814"/>
      <c r="D1" s="814"/>
      <c r="E1" s="814"/>
      <c r="F1" s="814"/>
      <c r="G1" s="814"/>
      <c r="H1" s="814"/>
      <c r="I1" s="814"/>
      <c r="J1" s="814"/>
      <c r="K1" s="814"/>
      <c r="L1" s="814"/>
      <c r="M1" s="815"/>
    </row>
    <row r="2" spans="1:16" ht="23.25" customHeight="1">
      <c r="A2" s="816" t="s">
        <v>364</v>
      </c>
      <c r="B2" s="816"/>
      <c r="C2" s="816"/>
      <c r="D2" s="816"/>
      <c r="E2" s="816"/>
      <c r="F2" s="816"/>
      <c r="G2" s="816"/>
      <c r="H2" s="816"/>
      <c r="I2" s="816"/>
      <c r="J2" s="816"/>
      <c r="K2" s="816"/>
      <c r="L2" s="816"/>
      <c r="M2" s="816"/>
    </row>
    <row r="3" spans="1:16" ht="21">
      <c r="A3" s="835" t="s">
        <v>541</v>
      </c>
      <c r="B3" s="836"/>
      <c r="C3" s="836"/>
      <c r="D3" s="836"/>
      <c r="E3" s="836"/>
      <c r="F3" s="836"/>
      <c r="G3" s="836"/>
      <c r="H3" s="836"/>
      <c r="I3" s="836"/>
      <c r="J3" s="836"/>
      <c r="K3" s="836"/>
      <c r="L3" s="836"/>
      <c r="M3" s="837"/>
    </row>
    <row r="4" spans="1:16" ht="21">
      <c r="A4" s="838" t="s">
        <v>348</v>
      </c>
      <c r="B4" s="839"/>
      <c r="C4" s="839"/>
      <c r="D4" s="839"/>
      <c r="E4" s="839"/>
      <c r="F4" s="839"/>
      <c r="G4" s="839"/>
      <c r="H4" s="839"/>
      <c r="I4" s="839"/>
      <c r="J4" s="839"/>
      <c r="K4" s="839"/>
      <c r="L4" s="839"/>
      <c r="M4" s="840"/>
    </row>
    <row r="5" spans="1:16" s="212" customFormat="1" ht="18.75">
      <c r="A5" s="398" t="s">
        <v>349</v>
      </c>
      <c r="B5" s="555" t="s">
        <v>354</v>
      </c>
      <c r="C5" s="398" t="s">
        <v>66</v>
      </c>
      <c r="D5" s="398" t="s">
        <v>350</v>
      </c>
      <c r="E5" s="398" t="s">
        <v>334</v>
      </c>
      <c r="F5" s="398" t="s">
        <v>351</v>
      </c>
      <c r="G5" s="398" t="s">
        <v>336</v>
      </c>
      <c r="H5" s="398" t="s">
        <v>352</v>
      </c>
      <c r="I5" s="399" t="s">
        <v>353</v>
      </c>
      <c r="J5" s="399" t="s">
        <v>339</v>
      </c>
      <c r="K5" s="30" t="s">
        <v>340</v>
      </c>
      <c r="L5" s="31" t="s">
        <v>341</v>
      </c>
      <c r="M5" s="197" t="s">
        <v>69</v>
      </c>
      <c r="N5" s="394"/>
      <c r="O5" s="394"/>
      <c r="P5" s="394"/>
    </row>
    <row r="6" spans="1:16" s="107" customFormat="1" ht="18.75" customHeight="1">
      <c r="A6" s="573">
        <v>1</v>
      </c>
      <c r="B6" s="558" t="str">
        <f>'Nursery Combain Plan'!B6</f>
        <v>Land preparation and plotting in the total area 40 jeribs</v>
      </c>
      <c r="C6" s="558" t="str">
        <f>'Nursery Combain Plan'!C6</f>
        <v>m2</v>
      </c>
      <c r="D6" s="559">
        <f>'Nursery Combain Plan'!D6</f>
        <v>80000</v>
      </c>
      <c r="E6" s="559">
        <f>'Nursery Combain Plan'!E6</f>
        <v>80</v>
      </c>
      <c r="F6" s="559">
        <f>'Nursery Combain Plan'!F6</f>
        <v>5</v>
      </c>
      <c r="G6" s="559">
        <f>'Nursery Combain Plan'!G6</f>
        <v>1000</v>
      </c>
      <c r="H6" s="594">
        <f>'Nursery Combain Plan'!H6</f>
        <v>400000</v>
      </c>
      <c r="I6" s="559">
        <f>'Nursery Combain Plan'!I6</f>
        <v>0</v>
      </c>
      <c r="J6" s="559">
        <f>'Nursery Combain Plan'!J6</f>
        <v>190000</v>
      </c>
      <c r="K6" s="559">
        <f>'Nursery Combain Plan'!K6</f>
        <v>0</v>
      </c>
      <c r="L6" s="559">
        <f>'Nursery Combain Plan'!L6</f>
        <v>210000</v>
      </c>
      <c r="M6" s="559"/>
    </row>
    <row r="7" spans="1:16" s="120" customFormat="1" ht="18.75" customHeight="1">
      <c r="A7" s="573">
        <v>2</v>
      </c>
      <c r="B7" s="558" t="str">
        <f>'Nursery Combain Plan'!B7</f>
        <v>Cultivation of tree's seeds in the total area of 10 jeribs</v>
      </c>
      <c r="C7" s="558" t="str">
        <f>'Nursery Combain Plan'!C7</f>
        <v>m2</v>
      </c>
      <c r="D7" s="559">
        <f>'Nursery Combain Plan'!D7</f>
        <v>20000</v>
      </c>
      <c r="E7" s="559">
        <f>'Nursery Combain Plan'!E7</f>
        <v>300</v>
      </c>
      <c r="F7" s="559">
        <f>'Nursery Combain Plan'!F7</f>
        <v>1.3333333333333333</v>
      </c>
      <c r="G7" s="559">
        <f>'Nursery Combain Plan'!G7</f>
        <v>66.666666666666671</v>
      </c>
      <c r="H7" s="594">
        <f>'Nursery Combain Plan'!H7</f>
        <v>26666.666666666664</v>
      </c>
      <c r="I7" s="559">
        <f>'Nursery Combain Plan'!I7</f>
        <v>0</v>
      </c>
      <c r="J7" s="559">
        <f>'Nursery Combain Plan'!J7</f>
        <v>0</v>
      </c>
      <c r="K7" s="559">
        <f>'Nursery Combain Plan'!K7</f>
        <v>0</v>
      </c>
      <c r="L7" s="559">
        <f>'Nursery Combain Plan'!L7</f>
        <v>26666.666666666668</v>
      </c>
      <c r="M7" s="559"/>
    </row>
    <row r="8" spans="1:16" s="120" customFormat="1" ht="18.75" customHeight="1">
      <c r="A8" s="573">
        <v>4</v>
      </c>
      <c r="B8" s="558" t="str">
        <f>'Nursery Combain Plan'!B8</f>
        <v xml:space="preserve">Filling and cultivation of plastic sacs </v>
      </c>
      <c r="C8" s="558" t="str">
        <f>'Nursery Combain Plan'!C8</f>
        <v>sac</v>
      </c>
      <c r="D8" s="559">
        <f>'Nursery Combain Plan'!D8</f>
        <v>188000</v>
      </c>
      <c r="E8" s="559">
        <f>'Nursery Combain Plan'!E8</f>
        <v>250</v>
      </c>
      <c r="F8" s="559">
        <f>'Nursery Combain Plan'!F8</f>
        <v>1.6</v>
      </c>
      <c r="G8" s="559">
        <f>'Nursery Combain Plan'!G8</f>
        <v>752</v>
      </c>
      <c r="H8" s="594">
        <f>'Nursery Combain Plan'!H8</f>
        <v>300800</v>
      </c>
      <c r="I8" s="559">
        <f>'Nursery Combain Plan'!I8</f>
        <v>0</v>
      </c>
      <c r="J8" s="559">
        <f>'Nursery Combain Plan'!J8</f>
        <v>0</v>
      </c>
      <c r="K8" s="559">
        <f>'Nursery Combain Plan'!K8</f>
        <v>0</v>
      </c>
      <c r="L8" s="559">
        <f>'Nursery Combain Plan'!L8</f>
        <v>300800</v>
      </c>
      <c r="M8" s="559"/>
    </row>
    <row r="9" spans="1:16" s="120" customFormat="1" ht="18.75" customHeight="1">
      <c r="A9" s="573">
        <v>5</v>
      </c>
      <c r="B9" s="558" t="str">
        <f>'Nursery Combain Plan'!B9</f>
        <v>weed control and softing of 41 jeribs lands for 3 times</v>
      </c>
      <c r="C9" s="558" t="str">
        <f>'Nursery Combain Plan'!C9</f>
        <v>m2</v>
      </c>
      <c r="D9" s="559">
        <f>'Nursery Combain Plan'!D9</f>
        <v>243000</v>
      </c>
      <c r="E9" s="559">
        <f>'Nursery Combain Plan'!E9</f>
        <v>80</v>
      </c>
      <c r="F9" s="559">
        <f>'Nursery Combain Plan'!F9</f>
        <v>5</v>
      </c>
      <c r="G9" s="559">
        <f>'Nursery Combain Plan'!G9</f>
        <v>3037.5</v>
      </c>
      <c r="H9" s="594">
        <f>'Nursery Combain Plan'!H9</f>
        <v>1215000</v>
      </c>
      <c r="I9" s="559">
        <f>'Nursery Combain Plan'!I9</f>
        <v>0</v>
      </c>
      <c r="J9" s="559">
        <f>'Nursery Combain Plan'!J9</f>
        <v>405000</v>
      </c>
      <c r="K9" s="559">
        <f>'Nursery Combain Plan'!K9</f>
        <v>405000</v>
      </c>
      <c r="L9" s="559">
        <f>'Nursery Combain Plan'!L9</f>
        <v>405000</v>
      </c>
      <c r="M9" s="559"/>
    </row>
    <row r="10" spans="1:16" s="36" customFormat="1" ht="18.75" customHeight="1">
      <c r="A10" s="573">
        <v>6</v>
      </c>
      <c r="B10" s="558" t="str">
        <f>'Nursery Combain Plan'!B10</f>
        <v>sparse of seedlings</v>
      </c>
      <c r="C10" s="558" t="str">
        <f>'Nursery Combain Plan'!C10</f>
        <v>seedling</v>
      </c>
      <c r="D10" s="559">
        <f>'Nursery Combain Plan'!D10</f>
        <v>200000</v>
      </c>
      <c r="E10" s="559">
        <f>'Nursery Combain Plan'!E10</f>
        <v>250</v>
      </c>
      <c r="F10" s="559">
        <f>'Nursery Combain Plan'!F10</f>
        <v>1.6</v>
      </c>
      <c r="G10" s="559">
        <f>'Nursery Combain Plan'!G10</f>
        <v>800</v>
      </c>
      <c r="H10" s="594">
        <f>'Nursery Combain Plan'!H10</f>
        <v>320000</v>
      </c>
      <c r="I10" s="559">
        <f>'Nursery Combain Plan'!I10</f>
        <v>0</v>
      </c>
      <c r="J10" s="559">
        <f>'Nursery Combain Plan'!J10</f>
        <v>120000</v>
      </c>
      <c r="K10" s="559">
        <f>'Nursery Combain Plan'!K10</f>
        <v>0</v>
      </c>
      <c r="L10" s="559">
        <f>'Nursery Combain Plan'!L10</f>
        <v>200000</v>
      </c>
      <c r="M10" s="559"/>
    </row>
    <row r="11" spans="1:16" s="107" customFormat="1" ht="18.75" customHeight="1">
      <c r="A11" s="573">
        <v>7</v>
      </c>
      <c r="B11" s="558" t="str">
        <f>'Nursery Combain Plan'!B11</f>
        <v xml:space="preserve">Preparation of Organic Compost  </v>
      </c>
      <c r="C11" s="558" t="str">
        <f>'Nursery Combain Plan'!C11</f>
        <v>m3</v>
      </c>
      <c r="D11" s="559">
        <f>'Nursery Combain Plan'!D11</f>
        <v>100</v>
      </c>
      <c r="E11" s="559">
        <f>'Nursery Combain Plan'!E11</f>
        <v>1</v>
      </c>
      <c r="F11" s="559">
        <f>'Nursery Combain Plan'!F11</f>
        <v>400</v>
      </c>
      <c r="G11" s="559">
        <f>'Nursery Combain Plan'!G11</f>
        <v>100</v>
      </c>
      <c r="H11" s="594">
        <f>'Nursery Combain Plan'!H11</f>
        <v>40000</v>
      </c>
      <c r="I11" s="559">
        <f>'Nursery Combain Plan'!I11</f>
        <v>0</v>
      </c>
      <c r="J11" s="559">
        <f>'Nursery Combain Plan'!J11</f>
        <v>0</v>
      </c>
      <c r="K11" s="559">
        <f>'Nursery Combain Plan'!K11</f>
        <v>19200</v>
      </c>
      <c r="L11" s="559">
        <f>'Nursery Combain Plan'!L11</f>
        <v>20800</v>
      </c>
      <c r="M11" s="844" t="s">
        <v>324</v>
      </c>
    </row>
    <row r="12" spans="1:16" s="107" customFormat="1" ht="18.75" customHeight="1">
      <c r="A12" s="573">
        <v>8</v>
      </c>
      <c r="B12" s="558" t="str">
        <f>'Nursery Combain Plan'!B12</f>
        <v>Uprooting off seedling and packing of 127500 saplings</v>
      </c>
      <c r="C12" s="558" t="str">
        <f>'Nursery Combain Plan'!C12</f>
        <v>seedling</v>
      </c>
      <c r="D12" s="559">
        <f>'Nursery Combain Plan'!D12</f>
        <v>250000</v>
      </c>
      <c r="E12" s="559">
        <f>'Nursery Combain Plan'!E12</f>
        <v>60</v>
      </c>
      <c r="F12" s="559">
        <f>'Nursery Combain Plan'!F12</f>
        <v>6.666666666666667</v>
      </c>
      <c r="G12" s="559">
        <f>'Nursery Combain Plan'!G12</f>
        <v>4166.666666666667</v>
      </c>
      <c r="H12" s="594">
        <f>'Nursery Combain Plan'!H12</f>
        <v>1666666.6666666667</v>
      </c>
      <c r="I12" s="559">
        <f>'Nursery Combain Plan'!I12</f>
        <v>620000</v>
      </c>
      <c r="J12" s="559">
        <f>'Nursery Combain Plan'!J12</f>
        <v>0</v>
      </c>
      <c r="K12" s="559">
        <f>'Nursery Combain Plan'!K12</f>
        <v>0</v>
      </c>
      <c r="L12" s="559">
        <f>'Nursery Combain Plan'!L12</f>
        <v>1046666.6666666667</v>
      </c>
      <c r="M12" s="845"/>
    </row>
    <row r="13" spans="1:16" s="107" customFormat="1" ht="18.75">
      <c r="A13" s="758" t="s">
        <v>70</v>
      </c>
      <c r="B13" s="758"/>
      <c r="C13" s="11"/>
      <c r="D13" s="174"/>
      <c r="E13" s="174"/>
      <c r="F13" s="174"/>
      <c r="G13" s="175">
        <f>SUM(G6:G12)</f>
        <v>9922.8333333333339</v>
      </c>
      <c r="H13" s="175">
        <f>SUM(H6:H12)</f>
        <v>3969133.333333334</v>
      </c>
      <c r="I13" s="175">
        <f t="shared" ref="I13:J13" si="0">SUM(I6:I12)</f>
        <v>620000</v>
      </c>
      <c r="J13" s="175">
        <f t="shared" si="0"/>
        <v>715000</v>
      </c>
      <c r="K13" s="175">
        <f>SUM(K6:K12)</f>
        <v>424200</v>
      </c>
      <c r="L13" s="175">
        <f>SUM(L6:L12)</f>
        <v>2209933.333333333</v>
      </c>
      <c r="M13" s="14"/>
    </row>
    <row r="14" spans="1:16" s="115" customFormat="1" ht="18.75">
      <c r="A14" s="841" t="s">
        <v>368</v>
      </c>
      <c r="B14" s="842"/>
      <c r="C14" s="842"/>
      <c r="D14" s="842"/>
      <c r="E14" s="842"/>
      <c r="F14" s="842"/>
      <c r="G14" s="842"/>
      <c r="H14" s="842"/>
      <c r="I14" s="842"/>
      <c r="J14" s="842"/>
      <c r="K14" s="842"/>
      <c r="L14" s="842"/>
      <c r="M14" s="843"/>
    </row>
    <row r="15" spans="1:16" s="107" customFormat="1" ht="18.75">
      <c r="A15" s="398" t="s">
        <v>349</v>
      </c>
      <c r="B15" s="555" t="s">
        <v>354</v>
      </c>
      <c r="C15" s="398" t="s">
        <v>66</v>
      </c>
      <c r="D15" s="398" t="s">
        <v>350</v>
      </c>
      <c r="E15" s="398" t="s">
        <v>334</v>
      </c>
      <c r="F15" s="398" t="s">
        <v>351</v>
      </c>
      <c r="G15" s="398" t="s">
        <v>336</v>
      </c>
      <c r="H15" s="398" t="s">
        <v>352</v>
      </c>
      <c r="I15" s="399" t="s">
        <v>353</v>
      </c>
      <c r="J15" s="399" t="s">
        <v>339</v>
      </c>
      <c r="K15" s="30" t="s">
        <v>340</v>
      </c>
      <c r="L15" s="31" t="s">
        <v>341</v>
      </c>
      <c r="M15" s="197" t="s">
        <v>69</v>
      </c>
    </row>
    <row r="16" spans="1:16" s="120" customFormat="1" ht="20.25" customHeight="1">
      <c r="A16" s="554">
        <v>1</v>
      </c>
      <c r="B16" s="558" t="s">
        <v>355</v>
      </c>
      <c r="C16" s="558" t="s">
        <v>356</v>
      </c>
      <c r="D16" s="558">
        <f>'تنگی غارو'!D6+'بادام باغ'!D5+'منشی میرغلام'!D5</f>
        <v>415</v>
      </c>
      <c r="E16" s="558"/>
      <c r="F16" s="558"/>
      <c r="G16" s="558"/>
      <c r="H16" s="558"/>
      <c r="I16" s="558"/>
      <c r="J16" s="558"/>
      <c r="K16" s="558"/>
      <c r="L16" s="558"/>
      <c r="M16" s="558"/>
    </row>
    <row r="17" spans="1:13" ht="20.25" customHeight="1">
      <c r="A17" s="554">
        <v>2</v>
      </c>
      <c r="B17" s="558" t="s">
        <v>542</v>
      </c>
      <c r="C17" s="558" t="s">
        <v>357</v>
      </c>
      <c r="D17" s="558">
        <f>'تنگی غارو'!D7+'تنگی غارو'!D14+'تنگی غارو'!D21+'بادام باغ'!D6+'بادام باغ'!D13+'بادام باغ'!D20+'منشی میرغلام'!D6+'منشی میرغلام'!D13+'منشی میرغلام'!D20</f>
        <v>691390</v>
      </c>
      <c r="E17" s="558">
        <v>17</v>
      </c>
      <c r="F17" s="558">
        <f>400/E17</f>
        <v>23.529411764705884</v>
      </c>
      <c r="G17" s="558">
        <f>D17/E17</f>
        <v>40670</v>
      </c>
      <c r="H17" s="558">
        <f>G17*F17*E17</f>
        <v>16268000.000000002</v>
      </c>
      <c r="I17" s="558">
        <f>'تنگی غارو'!H7+'بادام باغ'!H6+'منشی میرغلام'!H6</f>
        <v>1626800</v>
      </c>
      <c r="J17" s="558">
        <f>'تنگی غارو'!H14+'بادام باغ'!H13+'منشی میرغلام'!H13</f>
        <v>7320600</v>
      </c>
      <c r="K17" s="558">
        <f>'تنگی غارو'!H21+'بادام باغ'!H20+'منشی میرغلام'!H20</f>
        <v>7320600</v>
      </c>
      <c r="L17" s="558"/>
      <c r="M17" s="558"/>
    </row>
    <row r="18" spans="1:13" s="107" customFormat="1" ht="20.25" customHeight="1">
      <c r="A18" s="554">
        <v>3</v>
      </c>
      <c r="B18" s="558" t="s">
        <v>366</v>
      </c>
      <c r="C18" s="558" t="s">
        <v>357</v>
      </c>
      <c r="D18" s="558">
        <f>'تنگی غارو'!D8+'تنگی غارو'!D15+'تنگی غارو'!D22+'بادام باغ'!D7+'بادام باغ'!D14+'بادام باغ'!D21+'منشی میرغلام'!D7+'منشی میرغلام'!D14+'منشی میرغلام'!D21</f>
        <v>20750</v>
      </c>
      <c r="E18" s="558">
        <v>17</v>
      </c>
      <c r="F18" s="558">
        <f t="shared" ref="F18:F24" si="1">400/E18</f>
        <v>23.529411764705884</v>
      </c>
      <c r="G18" s="558">
        <f t="shared" ref="G18:G24" si="2">D18/E18</f>
        <v>1220.5882352941176</v>
      </c>
      <c r="H18" s="558">
        <f t="shared" ref="H18:H24" si="3">G18*F18*E18</f>
        <v>488235.29411764711</v>
      </c>
      <c r="I18" s="558">
        <f>'تنگی غارو'!H8+'بادام باغ'!H7+'منشی میرغلام'!H7</f>
        <v>48823.529411764706</v>
      </c>
      <c r="J18" s="558">
        <f>'تنگی غارو'!H15+'بادام باغ'!H14+'منشی میرغلام'!H14</f>
        <v>219705.8823529412</v>
      </c>
      <c r="K18" s="558">
        <f>'تنگی غارو'!H22+'بادام باغ'!H21+'منشی میرغلام'!H21</f>
        <v>219705.8823529412</v>
      </c>
      <c r="L18" s="558"/>
      <c r="M18" s="558"/>
    </row>
    <row r="19" spans="1:13" ht="20.25" customHeight="1">
      <c r="A19" s="554">
        <v>4</v>
      </c>
      <c r="B19" s="558" t="s">
        <v>361</v>
      </c>
      <c r="C19" s="558" t="s">
        <v>344</v>
      </c>
      <c r="D19" s="558">
        <f>'تنگی غارو'!D9+'تنگی غارو'!D16+'تنگی غارو'!D23+'بادام باغ'!D8+'بادام باغ'!D15+'بادام باغ'!D22+'منشی میرغلام'!D8+'منشی میرغلام'!D15+'منشی میرغلام'!D22</f>
        <v>415</v>
      </c>
      <c r="E19" s="558">
        <v>0.5</v>
      </c>
      <c r="F19" s="558">
        <f t="shared" si="1"/>
        <v>800</v>
      </c>
      <c r="G19" s="558">
        <f t="shared" si="2"/>
        <v>830</v>
      </c>
      <c r="H19" s="558">
        <f t="shared" si="3"/>
        <v>332000</v>
      </c>
      <c r="I19" s="558">
        <f>'تنگی غارو'!H9+'بادام باغ'!H8+'منشی میرغلام'!H8</f>
        <v>33200</v>
      </c>
      <c r="J19" s="558">
        <f>'تنگی غارو'!H16+'بادام باغ'!H15+'منشی میرغلام'!H15</f>
        <v>149400</v>
      </c>
      <c r="K19" s="558">
        <f>'تنگی غارو'!H23+'بادام باغ'!H22+'منشی میرغلام'!H22</f>
        <v>149400</v>
      </c>
      <c r="L19" s="558"/>
      <c r="M19" s="558"/>
    </row>
    <row r="20" spans="1:13" s="107" customFormat="1" ht="20.25" customHeight="1">
      <c r="A20" s="554">
        <v>5</v>
      </c>
      <c r="B20" s="558" t="s">
        <v>362</v>
      </c>
      <c r="C20" s="558" t="s">
        <v>358</v>
      </c>
      <c r="D20" s="558">
        <f>'تنگی غارو'!D10+'تنگی غارو'!D17+'تنگی غارو'!D24+'بادام باغ'!D9+'بادام باغ'!D16+'بادام باغ'!D23+'منشی میرغلام'!D9+'منشی میرغلام'!D16+'منشی میرغلام'!D23</f>
        <v>332000</v>
      </c>
      <c r="E20" s="558">
        <v>17</v>
      </c>
      <c r="F20" s="558">
        <f t="shared" si="1"/>
        <v>23.529411764705884</v>
      </c>
      <c r="G20" s="558">
        <f t="shared" si="2"/>
        <v>19529.411764705881</v>
      </c>
      <c r="H20" s="558">
        <f t="shared" si="3"/>
        <v>7811764.7058823537</v>
      </c>
      <c r="I20" s="558">
        <f>'تنگی غارو'!H10+'بادام باغ'!H9+'منشی میرغلام'!H9</f>
        <v>781176.4705882353</v>
      </c>
      <c r="J20" s="558">
        <f>'تنگی غارو'!H17+'بادام باغ'!H16+'منشی میرغلام'!H16</f>
        <v>3515294.1176470593</v>
      </c>
      <c r="K20" s="558">
        <f>'تنگی غارو'!H24+'بادام باغ'!H23+'منشی میرغلام'!H23</f>
        <v>3515294.1176470593</v>
      </c>
      <c r="L20" s="558"/>
      <c r="M20" s="558"/>
    </row>
    <row r="21" spans="1:13" s="120" customFormat="1" ht="20.25" customHeight="1">
      <c r="A21" s="554">
        <v>6</v>
      </c>
      <c r="B21" s="558" t="s">
        <v>363</v>
      </c>
      <c r="C21" s="558" t="s">
        <v>359</v>
      </c>
      <c r="D21" s="558">
        <f>'تنگی غارو'!D28+'بادام باغ'!D27+'منشی میرغلام'!D27</f>
        <v>166000</v>
      </c>
      <c r="E21" s="558">
        <v>50</v>
      </c>
      <c r="F21" s="558">
        <f t="shared" si="1"/>
        <v>8</v>
      </c>
      <c r="G21" s="558">
        <f t="shared" si="2"/>
        <v>3320</v>
      </c>
      <c r="H21" s="558">
        <f t="shared" si="3"/>
        <v>1328000</v>
      </c>
      <c r="I21" s="558"/>
      <c r="J21" s="558">
        <f>'تنگی غارو'!D18+'بادام باغ'!D17</f>
        <v>0</v>
      </c>
      <c r="K21" s="558"/>
      <c r="L21" s="558">
        <f>'تنگی غارو'!H28+'بادام باغ'!H27+'منشی میرغلام'!H27</f>
        <v>1328000</v>
      </c>
      <c r="M21" s="558"/>
    </row>
    <row r="22" spans="1:13" s="120" customFormat="1" ht="20.25" customHeight="1">
      <c r="A22" s="554">
        <v>7</v>
      </c>
      <c r="B22" s="558" t="s">
        <v>566</v>
      </c>
      <c r="C22" s="558" t="s">
        <v>360</v>
      </c>
      <c r="D22" s="558">
        <f>'تنگی غارو'!D29+'بادام باغ'!D28+'منشی میرغلام'!D28</f>
        <v>101</v>
      </c>
      <c r="E22" s="558">
        <v>1</v>
      </c>
      <c r="F22" s="558">
        <f t="shared" si="1"/>
        <v>400</v>
      </c>
      <c r="G22" s="558">
        <f t="shared" si="2"/>
        <v>101</v>
      </c>
      <c r="H22" s="558">
        <f t="shared" si="3"/>
        <v>40400</v>
      </c>
      <c r="I22" s="558"/>
      <c r="J22" s="558"/>
      <c r="K22" s="558"/>
      <c r="L22" s="558">
        <f>'تنگی غارو'!H29+'بادام باغ'!H28+'منشی میرغلام'!H28</f>
        <v>40400</v>
      </c>
      <c r="M22" s="558"/>
    </row>
    <row r="23" spans="1:13" s="120" customFormat="1" ht="20.25" customHeight="1">
      <c r="A23" s="554">
        <v>8</v>
      </c>
      <c r="B23" s="558" t="s">
        <v>565</v>
      </c>
      <c r="C23" s="558" t="s">
        <v>358</v>
      </c>
      <c r="D23" s="558">
        <f>'تنگی غارو'!D30+'بادام باغ'!D29+'منشی میرغلام'!D29</f>
        <v>166000</v>
      </c>
      <c r="E23" s="558">
        <v>250</v>
      </c>
      <c r="F23" s="558">
        <f t="shared" si="1"/>
        <v>1.6</v>
      </c>
      <c r="G23" s="558">
        <f t="shared" si="2"/>
        <v>664</v>
      </c>
      <c r="H23" s="558">
        <f t="shared" si="3"/>
        <v>265600</v>
      </c>
      <c r="I23" s="558"/>
      <c r="J23" s="558"/>
      <c r="K23" s="558"/>
      <c r="L23" s="558">
        <f>'تنگی غارو'!H30+'بادام باغ'!H29+'منشی میرغلام'!H29</f>
        <v>265600</v>
      </c>
      <c r="M23" s="558"/>
    </row>
    <row r="24" spans="1:13" s="120" customFormat="1" ht="20.25" customHeight="1">
      <c r="A24" s="554">
        <v>9</v>
      </c>
      <c r="B24" s="558" t="s">
        <v>367</v>
      </c>
      <c r="C24" s="558" t="s">
        <v>359</v>
      </c>
      <c r="D24" s="558">
        <f>'تنگی غارو'!D31+'بادام باغ'!D30+'منشی میرغلام'!D30</f>
        <v>166000</v>
      </c>
      <c r="E24" s="558">
        <v>250</v>
      </c>
      <c r="F24" s="558">
        <f t="shared" si="1"/>
        <v>1.6</v>
      </c>
      <c r="G24" s="558">
        <f t="shared" si="2"/>
        <v>664</v>
      </c>
      <c r="H24" s="558">
        <f t="shared" si="3"/>
        <v>265600</v>
      </c>
      <c r="I24" s="558"/>
      <c r="J24" s="558"/>
      <c r="K24" s="558"/>
      <c r="L24" s="558">
        <f>'تنگی غارو'!H31+'بادام باغ'!H30+'منشی میرغلام'!H30</f>
        <v>265600</v>
      </c>
      <c r="M24" s="558"/>
    </row>
    <row r="25" spans="1:13" ht="18.75">
      <c r="A25" s="834" t="s">
        <v>70</v>
      </c>
      <c r="B25" s="834"/>
      <c r="C25" s="560"/>
      <c r="D25" s="561"/>
      <c r="E25" s="561"/>
      <c r="F25" s="561"/>
      <c r="G25" s="562">
        <f t="shared" ref="G25:L25" si="4">SUM(G17:G24)</f>
        <v>66999</v>
      </c>
      <c r="H25" s="562">
        <f>SUM(H17:H24)</f>
        <v>26799600</v>
      </c>
      <c r="I25" s="562">
        <f t="shared" si="4"/>
        <v>2490000</v>
      </c>
      <c r="J25" s="562">
        <f t="shared" si="4"/>
        <v>11205000</v>
      </c>
      <c r="K25" s="562">
        <f t="shared" si="4"/>
        <v>11205000</v>
      </c>
      <c r="L25" s="562">
        <f t="shared" si="4"/>
        <v>1899600</v>
      </c>
      <c r="M25" s="563">
        <f>D30/21</f>
        <v>371862.42857142858</v>
      </c>
    </row>
    <row r="26" spans="1:13" s="115" customFormat="1" ht="18.75">
      <c r="A26" s="841" t="s">
        <v>369</v>
      </c>
      <c r="B26" s="842"/>
      <c r="C26" s="842"/>
      <c r="D26" s="842"/>
      <c r="E26" s="842"/>
      <c r="F26" s="842"/>
      <c r="G26" s="842"/>
      <c r="H26" s="842"/>
      <c r="I26" s="842"/>
      <c r="J26" s="842"/>
      <c r="K26" s="842"/>
      <c r="L26" s="842"/>
      <c r="M26" s="843"/>
    </row>
    <row r="27" spans="1:13" s="120" customFormat="1" ht="18.75">
      <c r="A27" s="555" t="s">
        <v>349</v>
      </c>
      <c r="B27" s="555" t="s">
        <v>354</v>
      </c>
      <c r="C27" s="555" t="s">
        <v>66</v>
      </c>
      <c r="D27" s="555" t="s">
        <v>350</v>
      </c>
      <c r="E27" s="555" t="s">
        <v>334</v>
      </c>
      <c r="F27" s="555" t="s">
        <v>351</v>
      </c>
      <c r="G27" s="555" t="s">
        <v>336</v>
      </c>
      <c r="H27" s="555" t="s">
        <v>352</v>
      </c>
      <c r="I27" s="564" t="s">
        <v>353</v>
      </c>
      <c r="J27" s="564" t="s">
        <v>339</v>
      </c>
      <c r="K27" s="565" t="s">
        <v>340</v>
      </c>
      <c r="L27" s="523" t="s">
        <v>341</v>
      </c>
      <c r="M27" s="521" t="s">
        <v>69</v>
      </c>
    </row>
    <row r="28" spans="1:13" s="44" customFormat="1" ht="19.5" customHeight="1">
      <c r="A28" s="554">
        <v>1</v>
      </c>
      <c r="B28" s="593" t="s">
        <v>355</v>
      </c>
      <c r="C28" s="558" t="s">
        <v>356</v>
      </c>
      <c r="D28" s="558">
        <v>1123.5</v>
      </c>
      <c r="E28" s="558"/>
      <c r="F28" s="558"/>
      <c r="G28" s="558"/>
      <c r="H28" s="558"/>
      <c r="I28" s="558"/>
      <c r="J28" s="558"/>
      <c r="K28" s="558"/>
      <c r="L28" s="558"/>
      <c r="M28" s="558"/>
    </row>
    <row r="29" spans="1:13" s="44" customFormat="1" ht="19.5" customHeight="1">
      <c r="A29" s="554">
        <v>2</v>
      </c>
      <c r="B29" s="593" t="s">
        <v>370</v>
      </c>
      <c r="C29" s="558" t="s">
        <v>452</v>
      </c>
      <c r="D29" s="558">
        <f>'کلوله پشته'!D10+'کلوله پشته'!D17+'کلوله پشته'!D22+'تنگی غارو1'!D10+'تنگی غارو1'!D17+'تنگی غارو1'!D22+'تپه مرنجان'!D10+'تپه مرنجان'!D17+'تپه مرنجان'!D22+'بادام باغ 1'!D10+'بادام باغ 1'!D17+'بادام باغ 1'!D22+'بنی حصار'!D12+'بنی حصار'!D19+'بنی حصار'!D24+'کوه تلویزیون'!D10+'کوه تلویزیون'!D17+'کوه تلویزیون'!D22+شیردروازه!D12+شیردروازه!D19+شیردروازه!D24+قصبه!D12+قصبه!D19+قصبه!D24+'تپه قرغه'!D12+'تپه قرغه'!D19+'تپه قرغه'!D24</f>
        <v>1749000</v>
      </c>
      <c r="E29" s="558">
        <v>2000</v>
      </c>
      <c r="F29" s="558">
        <f>400/E29</f>
        <v>0.2</v>
      </c>
      <c r="G29" s="558">
        <f>D29/E29</f>
        <v>874.5</v>
      </c>
      <c r="H29" s="558">
        <f>G29*F29*E29</f>
        <v>349800</v>
      </c>
      <c r="I29" s="558"/>
      <c r="J29" s="558">
        <f>'کلوله پشته'!H10+'تنگی غارو1'!H10+'تپه مرنجان'!H10+'بادام باغ 1'!H10+'بنی حصار'!H12+'کوه تلویزیون'!H10+شیردروازه!H12+قصبه!H12+'تپه قرغه'!H12</f>
        <v>95400</v>
      </c>
      <c r="K29" s="558">
        <f>'کلوله پشته'!H17+'تنگی غارو1'!H17+'تپه مرنجان'!H17+'بادام باغ 1'!H17+'بنی حصار'!H19+'کوه تلویزیون'!H17+شیردروازه!H19+قصبه!H19+'تپه قرغه'!H19</f>
        <v>127200</v>
      </c>
      <c r="L29" s="558">
        <f>'کلوله پشته'!H22+'تنگی غارو1'!H22+'تپه مرنجان'!H22+'بادام باغ 1'!H22+'بنی حصار'!H24+'کوه تلویزیون'!H22+شیردروازه!H24+قصبه!H24+'تپه قرغه'!H24</f>
        <v>127200</v>
      </c>
      <c r="M29" s="558"/>
    </row>
    <row r="30" spans="1:13" s="44" customFormat="1" ht="19.5" customHeight="1">
      <c r="A30" s="554">
        <v>3</v>
      </c>
      <c r="B30" s="593" t="s">
        <v>371</v>
      </c>
      <c r="C30" s="558" t="s">
        <v>393</v>
      </c>
      <c r="D30" s="558">
        <f>'تپه مرنجان'!D11+'تپه مرنجان'!D18+'تپه مرنجان'!D23+'بادام باغ 1'!D11+'بادام باغ 1'!D18+'بادام باغ 1'!D23+'بنی حصار'!D13+'بنی حصار'!D20+'بنی حصار'!D25+'کوه تلویزیون'!D11+'کوه تلویزیون'!D18+'کوه تلویزیون'!D23+شیردروازه!D13+شیردروازه!D20+'تنگی غارو1'!D23+شیردروازه!D25+قصبه!D13+قصبه!D20+قصبه!D25+'تپه قرغه'!D13+'تپه قرغه'!D20+'تپه قرغه'!D25</f>
        <v>7809111</v>
      </c>
      <c r="E30" s="558">
        <v>250</v>
      </c>
      <c r="F30" s="558">
        <f t="shared" ref="F30:F37" si="5">400/E30</f>
        <v>1.6</v>
      </c>
      <c r="G30" s="558">
        <f t="shared" ref="G30:G37" si="6">D30/E30</f>
        <v>31236.444</v>
      </c>
      <c r="H30" s="558">
        <f>G30*F30*E30</f>
        <v>12494577.6</v>
      </c>
      <c r="I30" s="558"/>
      <c r="J30" s="558">
        <f>'تپه مرنجان'!H11+'بادام باغ 1'!H11+'بنی حصار'!H13+'کوه تلویزیون'!H11+شیردروازه!H13+قصبه!H13+'تپه قرغه'!H13</f>
        <v>3550953.6</v>
      </c>
      <c r="K30" s="558">
        <f>'تپه مرنجان'!H18+'بادام باغ 1'!H18+'بنی حصار'!H20+'کوه تلویزیون'!H18+شیردروازه!H20+قصبه!H20+'تپه قرغه'!H20</f>
        <v>5326430.4000000004</v>
      </c>
      <c r="L30" s="558">
        <f>'تپه مرنجان'!H23+'بادام باغ 1'!H23+'بنی حصار'!H25+'کوه تلویزیون'!H23+شیردروازه!H25+قصبه!H25+'تپه قرغه'!H25+'تنگی غارو1'!H23</f>
        <v>3617193.6</v>
      </c>
      <c r="M30" s="558"/>
    </row>
    <row r="31" spans="1:13" s="44" customFormat="1" ht="19.5" customHeight="1">
      <c r="A31" s="554">
        <v>4</v>
      </c>
      <c r="B31" s="593" t="s">
        <v>372</v>
      </c>
      <c r="C31" s="558" t="s">
        <v>393</v>
      </c>
      <c r="D31" s="558">
        <f>'کلوله پشته'!D12+'تنگی غارو1'!D12+'تپه مرنجان'!D12+'بادام باغ 1'!D12+'بنی حصار'!D14+'کوه تلویزیون'!D12+شیردروازه!D14+قصبه!D14+'تپه قرغه'!D14</f>
        <v>76290.2</v>
      </c>
      <c r="E31" s="558">
        <v>100</v>
      </c>
      <c r="F31" s="558">
        <f t="shared" si="5"/>
        <v>4</v>
      </c>
      <c r="G31" s="558">
        <f t="shared" si="6"/>
        <v>762.90199999999993</v>
      </c>
      <c r="H31" s="558">
        <f t="shared" ref="H31:H32" si="7">G31*F31*E31</f>
        <v>305160.8</v>
      </c>
      <c r="I31" s="558"/>
      <c r="J31" s="558">
        <f>'کلوله پشته'!H12+'تنگی غارو1'!H12+'تپه مرنجان'!H12+'بادام باغ 1'!H12+'بنی حصار'!H14+'کوه تلویزیون'!H12+شیردروازه!H14+قصبه!H14+'تپه قرغه'!H14</f>
        <v>305160.8</v>
      </c>
      <c r="K31" s="558"/>
      <c r="L31" s="558"/>
      <c r="M31" s="558"/>
    </row>
    <row r="32" spans="1:13" s="44" customFormat="1" ht="30" customHeight="1">
      <c r="A32" s="554">
        <v>5</v>
      </c>
      <c r="B32" s="593" t="s">
        <v>373</v>
      </c>
      <c r="C32" s="558" t="s">
        <v>393</v>
      </c>
      <c r="D32" s="558">
        <f>'کلوله پشته'!D13+'تنگی غارو1'!D13+'تپه مرنجان'!D13+'بادام باغ 1'!D13+'بنی حصار'!D15+'کوه تلویزیون'!D13+شیردروازه!D15+قصبه!D15+'تپه قرغه'!D15</f>
        <v>381451</v>
      </c>
      <c r="E32" s="558">
        <v>400</v>
      </c>
      <c r="F32" s="558">
        <f t="shared" si="5"/>
        <v>1</v>
      </c>
      <c r="G32" s="558">
        <f t="shared" si="6"/>
        <v>953.62750000000005</v>
      </c>
      <c r="H32" s="558">
        <f t="shared" si="7"/>
        <v>381451</v>
      </c>
      <c r="I32" s="558"/>
      <c r="J32" s="558">
        <f>'کلوله پشته'!H13+'تنگی غارو1'!H13+'تپه مرنجان'!H13+'بادام باغ 1'!H13+'بنی حصار'!H15+'کوه تلویزیون'!H13+شیردروازه!H15+قصبه!H15+'تپه قرغه'!H15</f>
        <v>381451</v>
      </c>
      <c r="K32" s="558"/>
      <c r="L32" s="558"/>
      <c r="M32" s="558"/>
    </row>
    <row r="33" spans="1:17" s="44" customFormat="1" ht="19.5" customHeight="1">
      <c r="A33" s="554">
        <v>6</v>
      </c>
      <c r="B33" s="593" t="s">
        <v>388</v>
      </c>
      <c r="C33" s="558" t="s">
        <v>452</v>
      </c>
      <c r="D33" s="558">
        <f>'کلوله پشته'!D24+'تنگی غارو1'!D24+'تپه مرنجان'!D24+'بادام باغ 1'!D24+'بنی حصار'!D26+'کوه تلویزیون'!D24+شیردروازه!D26+قصبه!D26+'تپه قرغه'!D26</f>
        <v>114435.3</v>
      </c>
      <c r="E33" s="558">
        <v>250</v>
      </c>
      <c r="F33" s="558">
        <f t="shared" si="5"/>
        <v>1.6</v>
      </c>
      <c r="G33" s="558">
        <f t="shared" si="6"/>
        <v>457.74119999999999</v>
      </c>
      <c r="H33" s="558">
        <f t="shared" ref="H33:H35" si="8">G33*F33*E33</f>
        <v>183096.48</v>
      </c>
      <c r="I33" s="558"/>
      <c r="J33" s="558"/>
      <c r="K33" s="558"/>
      <c r="L33" s="558">
        <f>'کلوله پشته'!H24+'تنگی غارو1'!H24+'تپه مرنجان'!H24+'بادام باغ 1'!H24+'بنی حصار'!H26+'کوه تلویزیون'!H24+شیردروازه!H26+قصبه!H26+'تپه قرغه'!H26</f>
        <v>183096.48</v>
      </c>
      <c r="M33" s="558"/>
    </row>
    <row r="34" spans="1:17" s="44" customFormat="1" ht="19.5" customHeight="1">
      <c r="A34" s="554">
        <v>7</v>
      </c>
      <c r="B34" s="593" t="s">
        <v>389</v>
      </c>
      <c r="C34" s="558" t="s">
        <v>393</v>
      </c>
      <c r="D34" s="558">
        <f>'تپه قرغه'!D27+قصبه!D27+شیردروازه!D27+'کوه تلویزیون'!D25+'بنی حصار'!D27+'بادام باغ 1'!D25+'تپه مرنجان'!D25+'تنگی غارو1'!D25+'کلوله پشته'!D25</f>
        <v>38145.100000000006</v>
      </c>
      <c r="E34" s="558">
        <v>50</v>
      </c>
      <c r="F34" s="558">
        <f t="shared" si="5"/>
        <v>8</v>
      </c>
      <c r="G34" s="558">
        <f t="shared" si="6"/>
        <v>762.90200000000016</v>
      </c>
      <c r="H34" s="558">
        <f>G34*F34*E34</f>
        <v>305160.80000000005</v>
      </c>
      <c r="I34" s="558"/>
      <c r="J34" s="558"/>
      <c r="K34" s="558"/>
      <c r="L34" s="558">
        <f>'کلوله پشته'!H25+'تنگی غارو1'!H25+'تپه مرنجان'!H25+'بادام باغ 1'!H25+'بنی حصار'!H27+'کوه تلویزیون'!H25+شیردروازه!H27+قصبه!H27+'تپه قرغه'!H27</f>
        <v>305160.8</v>
      </c>
      <c r="M34" s="558"/>
    </row>
    <row r="35" spans="1:17" s="44" customFormat="1" ht="19.5" customHeight="1">
      <c r="A35" s="554">
        <v>8</v>
      </c>
      <c r="B35" s="593" t="s">
        <v>568</v>
      </c>
      <c r="C35" s="558" t="s">
        <v>393</v>
      </c>
      <c r="D35" s="558">
        <f>'کلوله پشته'!D27+'تنگی غارو1'!D27+'تپه مرنجان'!D27+'بادام باغ 1'!D27+'بنی حصار'!D28+'کوه تلویزیون'!D26+شیردروازه!D28+قصبه!D28+'تپه قرغه'!D28+'تپه قرغه'!D7+قصبه!D7+شیردروازه!D7+'بنی حصار'!D7</f>
        <v>104000</v>
      </c>
      <c r="E35" s="558">
        <v>50</v>
      </c>
      <c r="F35" s="558">
        <f t="shared" si="5"/>
        <v>8</v>
      </c>
      <c r="G35" s="558">
        <f t="shared" si="6"/>
        <v>2080</v>
      </c>
      <c r="H35" s="558">
        <f t="shared" si="8"/>
        <v>832000</v>
      </c>
      <c r="I35" s="558">
        <f>'تپه قرغه'!H7+قصبه!H7+شیردروازه!H7+'بنی حصار'!H7</f>
        <v>320000</v>
      </c>
      <c r="J35" s="558"/>
      <c r="K35" s="558"/>
      <c r="L35" s="558">
        <f>'تپه قرغه'!H28+قصبه!H28+شیردروازه!H28+'کوه تلویزیون'!H26+'بنی حصار'!H28</f>
        <v>512000</v>
      </c>
      <c r="M35" s="558"/>
    </row>
    <row r="36" spans="1:17" s="44" customFormat="1" ht="31.5" customHeight="1">
      <c r="A36" s="554">
        <v>9</v>
      </c>
      <c r="B36" s="593" t="s">
        <v>567</v>
      </c>
      <c r="C36" s="558" t="s">
        <v>393</v>
      </c>
      <c r="D36" s="558">
        <f>'تپه قرغه'!D29+قصبه!D29+شیردروازه!D29+'کوه تلویزیون'!D27+'بنی حصار'!D29+'بادام باغ 1'!D26+'تپه مرنجان'!D26+'تنگی غارو1'!D26</f>
        <v>101679.09999999999</v>
      </c>
      <c r="E36" s="558">
        <v>250</v>
      </c>
      <c r="F36" s="558">
        <f t="shared" si="5"/>
        <v>1.6</v>
      </c>
      <c r="G36" s="558">
        <f t="shared" si="6"/>
        <v>406.71639999999996</v>
      </c>
      <c r="H36" s="558">
        <f>G36*F36*E36</f>
        <v>162686.56</v>
      </c>
      <c r="I36" s="558"/>
      <c r="J36" s="558"/>
      <c r="K36" s="558"/>
      <c r="L36" s="558">
        <f>'تپه قرغه'!H29+قصبه!H29+شیردروازه!H29+'کوه تلویزیون'!H27+'بنی حصار'!H29+'بادام باغ 1'!H26+'تپه مرنجان'!H26+'تنگی غارو1'!H26</f>
        <v>162686.56</v>
      </c>
      <c r="M36" s="558"/>
      <c r="N36" s="397"/>
    </row>
    <row r="37" spans="1:17" s="44" customFormat="1" ht="24" customHeight="1">
      <c r="A37" s="554">
        <v>10</v>
      </c>
      <c r="B37" s="558" t="s">
        <v>569</v>
      </c>
      <c r="C37" s="558" t="s">
        <v>393</v>
      </c>
      <c r="D37" s="558">
        <f>'تنگی غارو1'!D11+'تنگی غارو1'!D18+'کلوله پشته'!D11+'کلوله پشته'!D18+'کلوله پشته'!D23+'کلوله پشته'!D26</f>
        <v>187846</v>
      </c>
      <c r="E37" s="558">
        <v>70</v>
      </c>
      <c r="F37" s="558">
        <f t="shared" si="5"/>
        <v>5.7142857142857144</v>
      </c>
      <c r="G37" s="558">
        <f t="shared" si="6"/>
        <v>2683.5142857142855</v>
      </c>
      <c r="H37" s="558">
        <f>G37*F37*E37</f>
        <v>1073405.7142857141</v>
      </c>
      <c r="I37" s="558"/>
      <c r="J37" s="558">
        <f>'کلوله پشته'!H11+'تنگی غارو1'!H11</f>
        <v>396342.85714285716</v>
      </c>
      <c r="K37" s="558">
        <f>'کلوله پشته'!H18+'تنگی غارو1'!H18</f>
        <v>514628.57142857148</v>
      </c>
      <c r="L37" s="558">
        <f>'کلوله پشته'!H23+'کلوله پشته'!H26</f>
        <v>162434.28571428574</v>
      </c>
      <c r="M37" s="558"/>
    </row>
    <row r="38" spans="1:17" s="120" customFormat="1" ht="18.75">
      <c r="A38" s="834" t="s">
        <v>70</v>
      </c>
      <c r="B38" s="834"/>
      <c r="C38" s="560"/>
      <c r="D38" s="561"/>
      <c r="E38" s="561"/>
      <c r="F38" s="561"/>
      <c r="G38" s="562">
        <f>SUM(G29:G36)</f>
        <v>37534.833099999996</v>
      </c>
      <c r="H38" s="562">
        <f>SUM(H29:H37)</f>
        <v>16087338.954285717</v>
      </c>
      <c r="I38" s="562">
        <f>SUM(I29:I37)</f>
        <v>320000</v>
      </c>
      <c r="J38" s="562">
        <f>SUM(J29:J37)</f>
        <v>4729308.2571428576</v>
      </c>
      <c r="K38" s="562">
        <f>SUM(K29:K37)</f>
        <v>5968258.9714285722</v>
      </c>
      <c r="L38" s="562">
        <f>SUM(L29:L37)</f>
        <v>5069771.7257142849</v>
      </c>
      <c r="M38" s="562"/>
    </row>
    <row r="39" spans="1:17" s="120" customFormat="1" ht="18.75">
      <c r="A39" s="846" t="s">
        <v>346</v>
      </c>
      <c r="B39" s="847"/>
      <c r="C39" s="566"/>
      <c r="D39" s="567"/>
      <c r="E39" s="567"/>
      <c r="F39" s="567"/>
      <c r="G39" s="487">
        <f>G38+G25</f>
        <v>104533.83309999999</v>
      </c>
      <c r="H39" s="487">
        <f>H38+H25+H13</f>
        <v>46856072.287619054</v>
      </c>
      <c r="I39" s="487">
        <f t="shared" ref="I39:L39" si="9">I38+I25+I13</f>
        <v>3430000</v>
      </c>
      <c r="J39" s="487">
        <f t="shared" si="9"/>
        <v>16649308.257142857</v>
      </c>
      <c r="K39" s="487">
        <f t="shared" si="9"/>
        <v>17597458.971428573</v>
      </c>
      <c r="L39" s="487">
        <f t="shared" si="9"/>
        <v>9179305.059047617</v>
      </c>
      <c r="M39" s="568"/>
    </row>
    <row r="40" spans="1:17" s="120" customFormat="1" ht="18.75">
      <c r="A40" s="848" t="s">
        <v>347</v>
      </c>
      <c r="B40" s="848"/>
      <c r="C40" s="569"/>
      <c r="D40" s="570"/>
      <c r="E40" s="570"/>
      <c r="F40" s="570"/>
      <c r="G40" s="571"/>
      <c r="H40" s="571">
        <f>H39/68.34</f>
        <v>685631.72794291854</v>
      </c>
      <c r="I40" s="571">
        <f t="shared" ref="I40:L40" si="10">I39/68.34</f>
        <v>50190.225343868886</v>
      </c>
      <c r="J40" s="571">
        <f t="shared" si="10"/>
        <v>243624.64526108949</v>
      </c>
      <c r="K40" s="571">
        <f t="shared" si="10"/>
        <v>257498.66800451526</v>
      </c>
      <c r="L40" s="571">
        <f t="shared" si="10"/>
        <v>134318.18933344478</v>
      </c>
      <c r="M40" s="572"/>
    </row>
    <row r="41" spans="1:17" s="425" customFormat="1" ht="30.75" customHeight="1">
      <c r="A41" s="850" t="s">
        <v>546</v>
      </c>
      <c r="B41" s="850"/>
      <c r="C41" s="851" t="s">
        <v>547</v>
      </c>
      <c r="D41" s="851"/>
      <c r="E41" s="851" t="s">
        <v>467</v>
      </c>
      <c r="F41" s="851"/>
      <c r="G41" s="851" t="s">
        <v>548</v>
      </c>
      <c r="H41" s="851"/>
      <c r="I41" s="851"/>
      <c r="J41" s="420"/>
      <c r="K41" s="244" t="s">
        <v>562</v>
      </c>
      <c r="L41" s="586"/>
      <c r="M41" s="421"/>
      <c r="N41" s="120"/>
      <c r="O41" s="120"/>
      <c r="P41" s="423"/>
      <c r="Q41" s="424"/>
    </row>
    <row r="42" spans="1:17" s="425" customFormat="1" ht="18.75">
      <c r="A42" s="829" t="s">
        <v>465</v>
      </c>
      <c r="B42" s="829"/>
      <c r="C42" s="830" t="s">
        <v>466</v>
      </c>
      <c r="D42" s="830"/>
      <c r="E42" s="831" t="s">
        <v>468</v>
      </c>
      <c r="F42" s="831"/>
      <c r="G42" s="775" t="s">
        <v>549</v>
      </c>
      <c r="H42" s="775"/>
      <c r="I42" s="775"/>
      <c r="J42" s="420"/>
      <c r="K42" s="244" t="s">
        <v>551</v>
      </c>
      <c r="L42" s="244"/>
      <c r="M42" s="421"/>
      <c r="N42" s="120"/>
      <c r="O42" s="120"/>
      <c r="P42" s="271"/>
      <c r="Q42" s="424"/>
    </row>
    <row r="43" spans="1:17" s="425" customFormat="1" ht="40.5" customHeight="1">
      <c r="A43" s="832" t="s">
        <v>556</v>
      </c>
      <c r="B43" s="832"/>
      <c r="C43" s="825" t="s">
        <v>476</v>
      </c>
      <c r="D43" s="825"/>
      <c r="E43" s="826" t="s">
        <v>469</v>
      </c>
      <c r="F43" s="826"/>
      <c r="G43" s="825" t="s">
        <v>550</v>
      </c>
      <c r="H43" s="825"/>
      <c r="I43" s="825"/>
      <c r="J43" s="455"/>
      <c r="K43" s="326" t="s">
        <v>563</v>
      </c>
      <c r="L43" s="581"/>
      <c r="M43" s="421"/>
      <c r="N43" s="120"/>
      <c r="O43" s="120"/>
      <c r="P43" s="271"/>
      <c r="Q43" s="271"/>
    </row>
    <row r="44" spans="1:17" s="433" customFormat="1" ht="18.75">
      <c r="A44" s="579"/>
      <c r="B44" s="579"/>
      <c r="C44" s="579"/>
      <c r="D44" s="579"/>
      <c r="E44" s="826" t="s">
        <v>470</v>
      </c>
      <c r="F44" s="826"/>
      <c r="G44" s="271"/>
      <c r="H44" s="271"/>
      <c r="I44" s="271"/>
      <c r="J44" s="326"/>
      <c r="K44" s="326" t="s">
        <v>472</v>
      </c>
      <c r="L44" s="453"/>
      <c r="M44" s="430"/>
      <c r="N44" s="120"/>
      <c r="O44" s="120"/>
      <c r="P44" s="271"/>
      <c r="Q44" s="271"/>
    </row>
    <row r="45" spans="1:17" s="264" customFormat="1" ht="18.75">
      <c r="A45" s="579"/>
      <c r="B45" s="579"/>
      <c r="C45" s="579"/>
      <c r="D45" s="579"/>
      <c r="E45" s="826" t="s">
        <v>471</v>
      </c>
      <c r="F45" s="826"/>
      <c r="G45" s="579"/>
      <c r="H45" s="579"/>
      <c r="I45" s="579"/>
      <c r="J45" s="326"/>
      <c r="K45" s="326" t="s">
        <v>564</v>
      </c>
      <c r="N45" s="120"/>
      <c r="O45" s="120"/>
      <c r="P45" s="270"/>
      <c r="Q45" s="270"/>
    </row>
    <row r="46" spans="1:17" s="579" customFormat="1" ht="29.25" customHeight="1">
      <c r="K46" s="326" t="s">
        <v>555</v>
      </c>
    </row>
    <row r="47" spans="1:17" s="579" customFormat="1" ht="30.75" customHeight="1"/>
    <row r="48" spans="1:17" s="425" customFormat="1" ht="18.75">
      <c r="A48" s="417"/>
      <c r="B48" s="418"/>
      <c r="C48" s="417"/>
      <c r="D48" s="830"/>
      <c r="E48" s="830"/>
      <c r="F48" s="176"/>
      <c r="G48" s="415"/>
      <c r="H48" s="176"/>
      <c r="I48" s="244"/>
      <c r="J48" s="420"/>
      <c r="K48" s="775"/>
      <c r="L48" s="775"/>
      <c r="M48" s="421"/>
      <c r="N48" s="120"/>
      <c r="O48" s="120"/>
      <c r="P48" s="271"/>
      <c r="Q48" s="424"/>
    </row>
    <row r="49" spans="1:17" s="425" customFormat="1" ht="40.5" customHeight="1">
      <c r="A49" s="417"/>
      <c r="B49" s="454"/>
      <c r="C49" s="269"/>
      <c r="D49" s="826"/>
      <c r="E49" s="826"/>
      <c r="F49" s="269"/>
      <c r="G49" s="326"/>
      <c r="H49" s="427"/>
      <c r="I49" s="457"/>
      <c r="J49" s="455"/>
      <c r="K49" s="825"/>
      <c r="L49" s="825"/>
      <c r="M49" s="421"/>
      <c r="N49" s="833"/>
      <c r="O49" s="833"/>
      <c r="P49" s="833"/>
      <c r="Q49" s="833"/>
    </row>
    <row r="50" spans="1:17" s="433" customFormat="1" ht="18.75">
      <c r="A50" s="578"/>
      <c r="B50" s="454"/>
      <c r="C50" s="579"/>
      <c r="D50" s="580"/>
      <c r="E50" s="579"/>
      <c r="F50" s="579"/>
      <c r="G50" s="271"/>
      <c r="H50" s="581"/>
      <c r="I50" s="326"/>
      <c r="J50" s="582"/>
      <c r="K50" s="582"/>
      <c r="L50" s="271"/>
      <c r="M50" s="583"/>
      <c r="N50" s="833"/>
      <c r="O50" s="833"/>
      <c r="P50" s="833"/>
      <c r="Q50" s="584"/>
    </row>
    <row r="51" spans="1:17" s="433" customFormat="1" ht="18.75">
      <c r="A51" s="785"/>
      <c r="B51" s="785"/>
      <c r="C51" s="271"/>
      <c r="D51" s="326"/>
      <c r="E51" s="271"/>
      <c r="F51" s="271"/>
      <c r="G51" s="271"/>
      <c r="H51" s="325"/>
      <c r="I51" s="271"/>
      <c r="J51" s="325"/>
      <c r="K51" s="325"/>
      <c r="L51" s="453"/>
      <c r="M51" s="430"/>
      <c r="N51" s="833"/>
      <c r="O51" s="833"/>
      <c r="P51" s="833"/>
      <c r="Q51" s="833"/>
    </row>
    <row r="52" spans="1:17" s="264" customFormat="1" ht="18.75">
      <c r="B52" s="401"/>
      <c r="C52" s="308"/>
      <c r="D52" s="416"/>
      <c r="N52" s="849"/>
      <c r="O52" s="849"/>
      <c r="P52" s="849"/>
      <c r="Q52" s="849"/>
    </row>
    <row r="53" spans="1:17" s="425" customFormat="1" ht="29.25" customHeight="1">
      <c r="A53" s="417"/>
      <c r="B53" s="542"/>
      <c r="C53" s="542"/>
      <c r="D53" s="542"/>
      <c r="E53" s="176"/>
      <c r="F53" s="176"/>
      <c r="G53" s="576"/>
      <c r="H53" s="576"/>
      <c r="I53" s="244"/>
      <c r="J53" s="420"/>
      <c r="K53" s="244"/>
      <c r="L53" s="176"/>
      <c r="M53" s="421"/>
      <c r="N53" s="422"/>
      <c r="O53" s="422"/>
      <c r="P53" s="423"/>
      <c r="Q53" s="424"/>
    </row>
    <row r="54" spans="1:17" s="425" customFormat="1" ht="40.5" customHeight="1">
      <c r="A54" s="417"/>
      <c r="B54" s="543"/>
      <c r="C54" s="543"/>
      <c r="D54" s="543"/>
      <c r="E54" s="269"/>
      <c r="F54" s="269"/>
      <c r="G54" s="271"/>
      <c r="H54" s="271"/>
      <c r="I54" s="457"/>
      <c r="J54" s="455"/>
      <c r="K54" s="455"/>
      <c r="L54" s="270"/>
      <c r="M54" s="421"/>
      <c r="N54" s="428"/>
      <c r="O54" s="421"/>
      <c r="P54" s="422"/>
      <c r="Q54" s="429"/>
    </row>
    <row r="55" spans="1:17" s="425" customFormat="1" ht="51.75" customHeight="1">
      <c r="A55" s="585"/>
      <c r="B55" s="585"/>
      <c r="C55" s="415"/>
      <c r="D55" s="415"/>
      <c r="E55" s="270"/>
      <c r="F55" s="270"/>
      <c r="G55" s="270"/>
      <c r="H55" s="270"/>
      <c r="I55" s="270"/>
      <c r="J55" s="270"/>
      <c r="K55" s="427"/>
      <c r="L55" s="427"/>
      <c r="M55" s="427"/>
      <c r="N55" s="270"/>
      <c r="O55" s="270"/>
      <c r="P55" s="270"/>
      <c r="Q55" s="429"/>
    </row>
    <row r="56" spans="1:17" s="425" customFormat="1" ht="22.5" customHeight="1">
      <c r="A56" s="552"/>
      <c r="B56" s="553"/>
      <c r="C56" s="244"/>
      <c r="D56" s="244"/>
      <c r="E56" s="244"/>
      <c r="F56" s="244"/>
      <c r="G56" s="271"/>
      <c r="H56" s="271"/>
      <c r="I56" s="270"/>
      <c r="J56" s="270"/>
      <c r="K56" s="455"/>
      <c r="L56" s="270"/>
      <c r="M56" s="456"/>
      <c r="N56" s="457"/>
      <c r="O56" s="457"/>
      <c r="P56" s="457"/>
      <c r="Q56" s="429"/>
    </row>
    <row r="57" spans="1:17" s="433" customFormat="1" ht="31.5" customHeight="1">
      <c r="A57" s="270"/>
      <c r="B57" s="452"/>
      <c r="C57" s="244"/>
      <c r="D57" s="244"/>
      <c r="E57" s="271"/>
      <c r="F57" s="271"/>
      <c r="G57" s="271"/>
      <c r="H57" s="271"/>
      <c r="I57" s="271"/>
      <c r="J57" s="271"/>
      <c r="K57" s="271"/>
      <c r="L57" s="453"/>
      <c r="M57" s="430"/>
      <c r="N57" s="430"/>
      <c r="O57" s="453"/>
      <c r="P57" s="431"/>
      <c r="Q57" s="432"/>
    </row>
    <row r="58" spans="1:17" s="244" customFormat="1" ht="26.25" customHeight="1">
      <c r="A58" s="577"/>
      <c r="B58" s="577"/>
      <c r="C58" s="577"/>
      <c r="D58" s="394"/>
      <c r="E58" s="68"/>
      <c r="F58" s="176"/>
      <c r="G58" s="132"/>
      <c r="H58" s="68"/>
      <c r="J58" s="248"/>
      <c r="L58" s="68"/>
    </row>
    <row r="59" spans="1:17" s="244" customFormat="1" ht="33" customHeight="1">
      <c r="A59" s="267"/>
      <c r="B59" s="531"/>
      <c r="C59" s="269"/>
      <c r="D59" s="270"/>
      <c r="E59" s="270"/>
      <c r="F59" s="269"/>
      <c r="G59" s="39"/>
      <c r="H59" s="324"/>
      <c r="I59" s="457"/>
      <c r="J59" s="324"/>
      <c r="K59" s="324"/>
      <c r="L59" s="39"/>
    </row>
    <row r="60" spans="1:17" s="244" customFormat="1" ht="26.25" customHeight="1">
      <c r="A60" s="271"/>
      <c r="B60" s="535"/>
      <c r="C60" s="271"/>
      <c r="D60" s="271"/>
      <c r="E60" s="271"/>
      <c r="G60" s="271"/>
      <c r="H60" s="325"/>
      <c r="I60" s="271"/>
      <c r="J60" s="325"/>
      <c r="K60" s="326"/>
      <c r="L60" s="323"/>
    </row>
    <row r="61" spans="1:17" ht="15" hidden="1" customHeight="1">
      <c r="A61" s="242"/>
      <c r="B61" s="557"/>
      <c r="C61" s="245"/>
      <c r="D61" s="246"/>
      <c r="E61" s="246"/>
      <c r="F61" s="246"/>
      <c r="G61" s="246"/>
      <c r="H61" s="246"/>
      <c r="I61" s="246"/>
      <c r="J61" s="246"/>
    </row>
  </sheetData>
  <mergeCells count="35">
    <mergeCell ref="A51:B51"/>
    <mergeCell ref="N51:Q51"/>
    <mergeCell ref="N52:Q52"/>
    <mergeCell ref="A41:B41"/>
    <mergeCell ref="C41:D41"/>
    <mergeCell ref="E41:F41"/>
    <mergeCell ref="A42:B42"/>
    <mergeCell ref="C42:D42"/>
    <mergeCell ref="E42:F42"/>
    <mergeCell ref="A43:B43"/>
    <mergeCell ref="C43:D43"/>
    <mergeCell ref="G41:I41"/>
    <mergeCell ref="G42:I42"/>
    <mergeCell ref="D48:E48"/>
    <mergeCell ref="K48:L48"/>
    <mergeCell ref="D49:E49"/>
    <mergeCell ref="A39:B39"/>
    <mergeCell ref="A40:B40"/>
    <mergeCell ref="A26:M26"/>
    <mergeCell ref="A38:B38"/>
    <mergeCell ref="E43:F43"/>
    <mergeCell ref="A25:B25"/>
    <mergeCell ref="A1:M1"/>
    <mergeCell ref="A2:M2"/>
    <mergeCell ref="A3:M3"/>
    <mergeCell ref="A4:M4"/>
    <mergeCell ref="A14:M14"/>
    <mergeCell ref="A13:B13"/>
    <mergeCell ref="M11:M12"/>
    <mergeCell ref="E44:F44"/>
    <mergeCell ref="N50:P50"/>
    <mergeCell ref="G43:I43"/>
    <mergeCell ref="K49:L49"/>
    <mergeCell ref="N49:Q49"/>
    <mergeCell ref="E45:F45"/>
  </mergeCells>
  <pageMargins left="0.5" right="0.7" top="0.41" bottom="0.3" header="0.3" footer="0.2"/>
  <pageSetup paperSize="9" scale="54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V97"/>
  <sheetViews>
    <sheetView showGridLines="0" view="pageBreakPreview" zoomScale="70" zoomScaleNormal="40" zoomScaleSheetLayoutView="70" zoomScalePageLayoutView="55" workbookViewId="0">
      <selection activeCell="G6" sqref="G6"/>
    </sheetView>
  </sheetViews>
  <sheetFormatPr defaultColWidth="9.125" defaultRowHeight="15.75"/>
  <cols>
    <col min="1" max="1" width="5.75" style="74" customWidth="1"/>
    <col min="2" max="2" width="60" style="464" customWidth="1"/>
    <col min="3" max="3" width="13.125" style="464" customWidth="1"/>
    <col min="4" max="4" width="14" style="536" customWidth="1"/>
    <col min="5" max="5" width="16" style="536" customWidth="1"/>
    <col min="6" max="6" width="15.875" style="536" customWidth="1"/>
    <col min="7" max="7" width="15" style="536" customWidth="1"/>
    <col min="8" max="8" width="19.375" style="537" customWidth="1"/>
    <col min="9" max="9" width="18.25" style="73" customWidth="1"/>
    <col min="10" max="10" width="32.125" style="536" customWidth="1"/>
    <col min="11" max="22" width="60" style="464" customWidth="1"/>
    <col min="23" max="32" width="60" style="74" customWidth="1"/>
    <col min="33" max="16384" width="9.125" style="74"/>
  </cols>
  <sheetData>
    <row r="1" spans="1:22" ht="37.5" customHeight="1">
      <c r="A1" s="859" t="s">
        <v>540</v>
      </c>
      <c r="B1" s="859"/>
      <c r="C1" s="859"/>
      <c r="D1" s="859"/>
      <c r="E1" s="859"/>
      <c r="F1" s="859"/>
      <c r="G1" s="859"/>
      <c r="H1" s="859"/>
      <c r="I1" s="859"/>
      <c r="J1" s="859"/>
    </row>
    <row r="2" spans="1:22" s="240" customFormat="1" ht="28.5" customHeight="1">
      <c r="A2" s="256" t="s">
        <v>64</v>
      </c>
      <c r="B2" s="465" t="s">
        <v>525</v>
      </c>
      <c r="C2" s="466" t="s">
        <v>390</v>
      </c>
      <c r="D2" s="467" t="s">
        <v>481</v>
      </c>
      <c r="E2" s="75" t="s">
        <v>334</v>
      </c>
      <c r="F2" s="75" t="s">
        <v>539</v>
      </c>
      <c r="G2" s="75" t="s">
        <v>336</v>
      </c>
      <c r="H2" s="75" t="s">
        <v>538</v>
      </c>
      <c r="I2" s="595" t="s">
        <v>528</v>
      </c>
      <c r="J2" s="468" t="s">
        <v>69</v>
      </c>
      <c r="K2" s="469"/>
      <c r="L2" s="469"/>
      <c r="M2" s="469"/>
      <c r="N2" s="469"/>
      <c r="O2" s="469"/>
      <c r="P2" s="469"/>
      <c r="Q2" s="469"/>
      <c r="R2" s="469"/>
      <c r="S2" s="469"/>
      <c r="T2" s="469"/>
      <c r="U2" s="469"/>
      <c r="V2" s="469"/>
    </row>
    <row r="3" spans="1:22" s="240" customFormat="1" ht="22.5" customHeight="1">
      <c r="A3" s="860" t="s">
        <v>522</v>
      </c>
      <c r="B3" s="861"/>
      <c r="C3" s="470"/>
      <c r="D3" s="471"/>
      <c r="E3" s="471"/>
      <c r="F3" s="471" t="s">
        <v>529</v>
      </c>
      <c r="G3" s="471" t="s">
        <v>529</v>
      </c>
      <c r="H3" s="471"/>
      <c r="I3" s="596"/>
      <c r="J3" s="471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</row>
    <row r="4" spans="1:22" s="261" customFormat="1" ht="18" customHeight="1">
      <c r="A4" s="260">
        <v>1</v>
      </c>
      <c r="B4" s="458" t="s">
        <v>500</v>
      </c>
      <c r="C4" s="472" t="s">
        <v>356</v>
      </c>
      <c r="D4" s="473">
        <v>17</v>
      </c>
      <c r="E4" s="474"/>
      <c r="F4" s="475">
        <f>2406125/D4</f>
        <v>141536.76470588235</v>
      </c>
      <c r="G4" s="476">
        <f>D4*120</f>
        <v>2040</v>
      </c>
      <c r="H4" s="475">
        <f>D4*F4</f>
        <v>2406125</v>
      </c>
      <c r="I4" s="597">
        <f>H4/68.34</f>
        <v>35208.150424348845</v>
      </c>
      <c r="J4" s="477"/>
      <c r="K4" s="478"/>
      <c r="L4" s="478"/>
      <c r="M4" s="478"/>
      <c r="N4" s="478"/>
      <c r="O4" s="478"/>
      <c r="P4" s="478"/>
      <c r="Q4" s="478"/>
      <c r="R4" s="478"/>
      <c r="S4" s="478"/>
      <c r="T4" s="478"/>
      <c r="U4" s="478"/>
      <c r="V4" s="478"/>
    </row>
    <row r="5" spans="1:22" s="261" customFormat="1" ht="18" customHeight="1">
      <c r="A5" s="260">
        <v>2</v>
      </c>
      <c r="B5" s="458" t="s">
        <v>501</v>
      </c>
      <c r="C5" s="472" t="s">
        <v>356</v>
      </c>
      <c r="D5" s="473">
        <v>175</v>
      </c>
      <c r="E5" s="474"/>
      <c r="F5" s="475">
        <f>18348149/D5</f>
        <v>104846.56571428571</v>
      </c>
      <c r="G5" s="476">
        <f t="shared" ref="G5" si="0">D5*120</f>
        <v>21000</v>
      </c>
      <c r="H5" s="475">
        <f t="shared" ref="H5:H9" si="1">D5*F5</f>
        <v>18348149</v>
      </c>
      <c r="I5" s="597">
        <f t="shared" ref="I5:I9" si="2">H5/68.34</f>
        <v>268483.30406789581</v>
      </c>
      <c r="J5" s="477"/>
      <c r="K5" s="478"/>
      <c r="L5" s="478"/>
      <c r="M5" s="478"/>
      <c r="N5" s="478"/>
      <c r="O5" s="478"/>
      <c r="P5" s="478"/>
      <c r="Q5" s="478"/>
      <c r="R5" s="478"/>
      <c r="S5" s="478"/>
      <c r="T5" s="478"/>
      <c r="U5" s="478"/>
      <c r="V5" s="478"/>
    </row>
    <row r="6" spans="1:22" s="261" customFormat="1" ht="32.25" customHeight="1">
      <c r="A6" s="260">
        <v>3</v>
      </c>
      <c r="B6" s="458" t="s">
        <v>502</v>
      </c>
      <c r="C6" s="472" t="s">
        <v>356</v>
      </c>
      <c r="D6" s="473">
        <v>180</v>
      </c>
      <c r="E6" s="474"/>
      <c r="F6" s="475">
        <f>18000000/D6</f>
        <v>100000</v>
      </c>
      <c r="G6" s="476">
        <f>D6*120</f>
        <v>21600</v>
      </c>
      <c r="H6" s="473">
        <f t="shared" si="1"/>
        <v>18000000</v>
      </c>
      <c r="I6" s="597">
        <f t="shared" si="2"/>
        <v>263388.93766461808</v>
      </c>
      <c r="J6" s="477"/>
      <c r="K6" s="478"/>
      <c r="L6" s="478"/>
      <c r="M6" s="478"/>
      <c r="N6" s="478"/>
      <c r="O6" s="478"/>
      <c r="P6" s="478"/>
      <c r="Q6" s="478"/>
      <c r="R6" s="478"/>
      <c r="S6" s="478"/>
      <c r="T6" s="478"/>
      <c r="U6" s="478"/>
      <c r="V6" s="478"/>
    </row>
    <row r="7" spans="1:22" s="261" customFormat="1" ht="21" customHeight="1">
      <c r="A7" s="260">
        <v>4</v>
      </c>
      <c r="B7" s="458" t="s">
        <v>503</v>
      </c>
      <c r="C7" s="472" t="s">
        <v>356</v>
      </c>
      <c r="D7" s="473">
        <v>150</v>
      </c>
      <c r="E7" s="474"/>
      <c r="F7" s="475">
        <f>12660367.5/D7</f>
        <v>84402.45</v>
      </c>
      <c r="G7" s="476">
        <f>D7*120</f>
        <v>18000</v>
      </c>
      <c r="H7" s="473">
        <f>D7*F7</f>
        <v>12660367.5</v>
      </c>
      <c r="I7" s="597">
        <f t="shared" si="2"/>
        <v>185255.59701492536</v>
      </c>
      <c r="J7" s="477"/>
      <c r="K7" s="478"/>
      <c r="L7" s="478"/>
      <c r="M7" s="478"/>
      <c r="N7" s="478"/>
      <c r="O7" s="478"/>
      <c r="P7" s="478"/>
      <c r="Q7" s="478"/>
      <c r="R7" s="478"/>
      <c r="S7" s="478"/>
      <c r="T7" s="478"/>
      <c r="U7" s="478"/>
      <c r="V7" s="478"/>
    </row>
    <row r="8" spans="1:22" s="261" customFormat="1" ht="21" customHeight="1">
      <c r="A8" s="260">
        <v>5</v>
      </c>
      <c r="B8" s="458" t="s">
        <v>504</v>
      </c>
      <c r="C8" s="472" t="s">
        <v>356</v>
      </c>
      <c r="D8" s="473">
        <v>33</v>
      </c>
      <c r="E8" s="474"/>
      <c r="F8" s="475">
        <f>2977164/D8</f>
        <v>90217.090909090912</v>
      </c>
      <c r="G8" s="476">
        <f>D8*120</f>
        <v>3960</v>
      </c>
      <c r="H8" s="475">
        <f t="shared" si="1"/>
        <v>2977164</v>
      </c>
      <c r="I8" s="597">
        <f t="shared" si="2"/>
        <v>43564.003511852497</v>
      </c>
      <c r="J8" s="477"/>
      <c r="K8" s="478"/>
      <c r="L8" s="478"/>
      <c r="M8" s="478"/>
      <c r="N8" s="478"/>
      <c r="O8" s="478"/>
      <c r="P8" s="478"/>
      <c r="Q8" s="478"/>
      <c r="R8" s="478"/>
      <c r="S8" s="478"/>
      <c r="T8" s="478"/>
      <c r="U8" s="478"/>
      <c r="V8" s="478"/>
    </row>
    <row r="9" spans="1:22" s="261" customFormat="1" ht="21" customHeight="1">
      <c r="A9" s="260">
        <v>6</v>
      </c>
      <c r="B9" s="458" t="s">
        <v>505</v>
      </c>
      <c r="C9" s="479" t="s">
        <v>523</v>
      </c>
      <c r="D9" s="473">
        <v>1</v>
      </c>
      <c r="E9" s="474"/>
      <c r="F9" s="475">
        <v>1005430</v>
      </c>
      <c r="G9" s="476">
        <f t="shared" ref="G9" si="3">D9*110</f>
        <v>110</v>
      </c>
      <c r="H9" s="475">
        <f t="shared" si="1"/>
        <v>1005430</v>
      </c>
      <c r="I9" s="597">
        <f t="shared" si="2"/>
        <v>14712.174422007609</v>
      </c>
      <c r="J9" s="480"/>
      <c r="K9" s="478"/>
      <c r="L9" s="478"/>
      <c r="M9" s="478"/>
      <c r="N9" s="478"/>
      <c r="O9" s="478"/>
      <c r="P9" s="478"/>
      <c r="Q9" s="478"/>
      <c r="R9" s="478"/>
      <c r="S9" s="478"/>
      <c r="T9" s="478"/>
      <c r="U9" s="478"/>
      <c r="V9" s="478"/>
    </row>
    <row r="10" spans="1:22" s="83" customFormat="1" ht="21" customHeight="1">
      <c r="A10" s="260">
        <v>7</v>
      </c>
      <c r="B10" s="458" t="s">
        <v>506</v>
      </c>
      <c r="C10" s="481" t="s">
        <v>524</v>
      </c>
      <c r="D10" s="482">
        <v>2</v>
      </c>
      <c r="E10" s="474"/>
      <c r="F10" s="483">
        <v>2400000</v>
      </c>
      <c r="G10" s="476">
        <v>250</v>
      </c>
      <c r="H10" s="484">
        <f>F10*D10</f>
        <v>4800000</v>
      </c>
      <c r="I10" s="598">
        <f>H10/68.34</f>
        <v>70237.050043898154</v>
      </c>
      <c r="J10" s="485"/>
      <c r="K10" s="486"/>
      <c r="L10" s="486"/>
      <c r="M10" s="486"/>
      <c r="N10" s="486"/>
      <c r="O10" s="486"/>
      <c r="P10" s="486"/>
      <c r="Q10" s="486"/>
      <c r="R10" s="486"/>
      <c r="S10" s="486"/>
      <c r="T10" s="486"/>
      <c r="U10" s="486"/>
      <c r="V10" s="486"/>
    </row>
    <row r="11" spans="1:22" s="111" customFormat="1" ht="27.75" customHeight="1">
      <c r="A11" s="862" t="s">
        <v>70</v>
      </c>
      <c r="B11" s="862"/>
      <c r="C11" s="551"/>
      <c r="D11" s="549">
        <f>SUM(D4:D9)</f>
        <v>556</v>
      </c>
      <c r="E11" s="549"/>
      <c r="F11" s="549"/>
      <c r="G11" s="549">
        <f>SUM(G4:G10)</f>
        <v>66960</v>
      </c>
      <c r="H11" s="549">
        <f>SUM(H4:H10)</f>
        <v>60197235.5</v>
      </c>
      <c r="I11" s="599">
        <f>SUM(I4:I10)</f>
        <v>880849.21714954625</v>
      </c>
      <c r="J11" s="549"/>
      <c r="K11" s="488"/>
      <c r="L11" s="488"/>
      <c r="M11" s="488"/>
      <c r="N11" s="488"/>
      <c r="O11" s="488"/>
      <c r="P11" s="488"/>
      <c r="Q11" s="488"/>
      <c r="R11" s="488"/>
      <c r="S11" s="488"/>
      <c r="T11" s="488"/>
      <c r="U11" s="488"/>
      <c r="V11" s="488"/>
    </row>
    <row r="12" spans="1:22" ht="28.5" customHeight="1">
      <c r="A12" s="860" t="s">
        <v>530</v>
      </c>
      <c r="B12" s="861"/>
      <c r="C12" s="489" t="s">
        <v>390</v>
      </c>
      <c r="D12" s="489" t="s">
        <v>481</v>
      </c>
      <c r="E12" s="489" t="s">
        <v>334</v>
      </c>
      <c r="F12" s="489" t="s">
        <v>526</v>
      </c>
      <c r="G12" s="489" t="s">
        <v>508</v>
      </c>
      <c r="H12" s="265" t="s">
        <v>527</v>
      </c>
      <c r="I12" s="600" t="s">
        <v>528</v>
      </c>
      <c r="J12" s="489" t="s">
        <v>69</v>
      </c>
    </row>
    <row r="13" spans="1:22" s="83" customFormat="1" ht="18.75" customHeight="1">
      <c r="A13" s="80">
        <v>1</v>
      </c>
      <c r="B13" s="439" t="s">
        <v>415</v>
      </c>
      <c r="C13" s="490" t="s">
        <v>71</v>
      </c>
      <c r="D13" s="482">
        <v>10</v>
      </c>
      <c r="E13" s="589">
        <v>1</v>
      </c>
      <c r="F13" s="491">
        <v>142222</v>
      </c>
      <c r="G13" s="482">
        <f>E13*D13*22</f>
        <v>220</v>
      </c>
      <c r="H13" s="492">
        <f>F13*E13*D13</f>
        <v>1422220</v>
      </c>
      <c r="I13" s="601">
        <f>H13/68.34</f>
        <v>20810.945273631838</v>
      </c>
      <c r="J13" s="485"/>
      <c r="K13" s="486"/>
      <c r="L13" s="486"/>
      <c r="M13" s="486"/>
      <c r="N13" s="486"/>
      <c r="O13" s="486"/>
      <c r="P13" s="486"/>
      <c r="Q13" s="486"/>
      <c r="R13" s="486"/>
      <c r="S13" s="486"/>
      <c r="T13" s="486"/>
      <c r="U13" s="486"/>
      <c r="V13" s="486"/>
    </row>
    <row r="14" spans="1:22" s="83" customFormat="1" ht="18.75" customHeight="1">
      <c r="A14" s="80">
        <v>2</v>
      </c>
      <c r="B14" s="439" t="s">
        <v>416</v>
      </c>
      <c r="C14" s="490" t="s">
        <v>71</v>
      </c>
      <c r="D14" s="482">
        <v>12</v>
      </c>
      <c r="E14" s="589">
        <v>1</v>
      </c>
      <c r="F14" s="491">
        <v>66333</v>
      </c>
      <c r="G14" s="482">
        <f t="shared" ref="G14:G27" si="4">E14*D14*22</f>
        <v>264</v>
      </c>
      <c r="H14" s="492">
        <f t="shared" ref="H14:H27" si="5">F14*E14*D14</f>
        <v>795996</v>
      </c>
      <c r="I14" s="601">
        <f t="shared" ref="I14:I16" si="6">H14/68.34</f>
        <v>11647.58560140474</v>
      </c>
      <c r="J14" s="485"/>
      <c r="K14" s="486"/>
      <c r="L14" s="486"/>
      <c r="M14" s="486"/>
      <c r="N14" s="486"/>
      <c r="O14" s="486"/>
      <c r="P14" s="486"/>
      <c r="Q14" s="486"/>
      <c r="R14" s="486"/>
      <c r="S14" s="486"/>
      <c r="T14" s="486"/>
      <c r="U14" s="486"/>
      <c r="V14" s="486"/>
    </row>
    <row r="15" spans="1:22" s="83" customFormat="1" ht="18.75" customHeight="1">
      <c r="A15" s="395">
        <v>3</v>
      </c>
      <c r="B15" s="439" t="s">
        <v>417</v>
      </c>
      <c r="C15" s="490" t="s">
        <v>71</v>
      </c>
      <c r="D15" s="482">
        <v>10</v>
      </c>
      <c r="E15" s="589">
        <v>1</v>
      </c>
      <c r="F15" s="483">
        <v>104444</v>
      </c>
      <c r="G15" s="482">
        <f t="shared" si="4"/>
        <v>220</v>
      </c>
      <c r="H15" s="483">
        <f t="shared" si="5"/>
        <v>1044440</v>
      </c>
      <c r="I15" s="598">
        <f t="shared" si="6"/>
        <v>15282.996780801872</v>
      </c>
      <c r="J15" s="485"/>
      <c r="K15" s="486"/>
      <c r="L15" s="486"/>
      <c r="M15" s="486"/>
      <c r="N15" s="486"/>
      <c r="O15" s="486"/>
      <c r="P15" s="486"/>
      <c r="Q15" s="486"/>
      <c r="R15" s="486"/>
      <c r="S15" s="486"/>
      <c r="T15" s="486"/>
      <c r="U15" s="486"/>
      <c r="V15" s="486"/>
    </row>
    <row r="16" spans="1:22" s="83" customFormat="1" ht="18.75" customHeight="1">
      <c r="A16" s="80">
        <v>5</v>
      </c>
      <c r="B16" s="439" t="s">
        <v>418</v>
      </c>
      <c r="C16" s="490" t="s">
        <v>71</v>
      </c>
      <c r="D16" s="482">
        <v>12</v>
      </c>
      <c r="E16" s="589">
        <v>1</v>
      </c>
      <c r="F16" s="491">
        <v>28000</v>
      </c>
      <c r="G16" s="482">
        <f t="shared" si="4"/>
        <v>264</v>
      </c>
      <c r="H16" s="483">
        <f t="shared" si="5"/>
        <v>336000</v>
      </c>
      <c r="I16" s="601">
        <f t="shared" si="6"/>
        <v>4916.5935030728706</v>
      </c>
      <c r="J16" s="485"/>
      <c r="K16" s="486"/>
      <c r="L16" s="486"/>
      <c r="M16" s="486"/>
      <c r="N16" s="486"/>
      <c r="O16" s="486"/>
      <c r="P16" s="486"/>
      <c r="Q16" s="486"/>
      <c r="R16" s="486"/>
      <c r="S16" s="486"/>
      <c r="T16" s="486"/>
      <c r="U16" s="486"/>
      <c r="V16" s="486"/>
    </row>
    <row r="17" spans="1:22" s="83" customFormat="1" ht="18.75" customHeight="1">
      <c r="A17" s="80">
        <v>6</v>
      </c>
      <c r="B17" s="439" t="s">
        <v>419</v>
      </c>
      <c r="C17" s="490" t="s">
        <v>71</v>
      </c>
      <c r="D17" s="482">
        <v>12</v>
      </c>
      <c r="E17" s="589">
        <v>1</v>
      </c>
      <c r="F17" s="491">
        <v>76000</v>
      </c>
      <c r="G17" s="482">
        <f t="shared" si="4"/>
        <v>264</v>
      </c>
      <c r="H17" s="492">
        <f t="shared" si="5"/>
        <v>912000</v>
      </c>
      <c r="I17" s="601">
        <f t="shared" ref="I17:I36" si="7">H17/68.34</f>
        <v>13345.039508340649</v>
      </c>
      <c r="J17" s="485"/>
      <c r="K17" s="486"/>
      <c r="L17" s="486"/>
      <c r="M17" s="486"/>
      <c r="N17" s="486"/>
      <c r="O17" s="486"/>
      <c r="P17" s="486"/>
      <c r="Q17" s="486"/>
      <c r="R17" s="486"/>
      <c r="S17" s="486"/>
      <c r="T17" s="486"/>
      <c r="U17" s="486"/>
      <c r="V17" s="486"/>
    </row>
    <row r="18" spans="1:22" s="83" customFormat="1" ht="18.75" customHeight="1">
      <c r="A18" s="80">
        <v>7</v>
      </c>
      <c r="B18" s="439" t="s">
        <v>420</v>
      </c>
      <c r="C18" s="490" t="s">
        <v>71</v>
      </c>
      <c r="D18" s="482">
        <v>12</v>
      </c>
      <c r="E18" s="589">
        <v>1</v>
      </c>
      <c r="F18" s="491">
        <v>83111</v>
      </c>
      <c r="G18" s="482">
        <f t="shared" si="4"/>
        <v>264</v>
      </c>
      <c r="H18" s="492">
        <f t="shared" si="5"/>
        <v>997332</v>
      </c>
      <c r="I18" s="601">
        <f t="shared" si="7"/>
        <v>14593.678665496049</v>
      </c>
      <c r="J18" s="485"/>
      <c r="K18" s="486"/>
      <c r="L18" s="486"/>
      <c r="M18" s="486"/>
      <c r="N18" s="486"/>
      <c r="O18" s="486"/>
      <c r="P18" s="486"/>
      <c r="Q18" s="486"/>
      <c r="R18" s="486"/>
      <c r="S18" s="486"/>
      <c r="T18" s="486"/>
      <c r="U18" s="486"/>
      <c r="V18" s="486"/>
    </row>
    <row r="19" spans="1:22" s="83" customFormat="1" ht="18.75" customHeight="1">
      <c r="A19" s="80">
        <v>8</v>
      </c>
      <c r="B19" s="439" t="s">
        <v>421</v>
      </c>
      <c r="C19" s="490" t="s">
        <v>71</v>
      </c>
      <c r="D19" s="482">
        <v>12</v>
      </c>
      <c r="E19" s="589">
        <v>1</v>
      </c>
      <c r="F19" s="491">
        <v>97333</v>
      </c>
      <c r="G19" s="482">
        <f t="shared" si="4"/>
        <v>264</v>
      </c>
      <c r="H19" s="492">
        <f t="shared" si="5"/>
        <v>1167996</v>
      </c>
      <c r="I19" s="601">
        <f t="shared" si="7"/>
        <v>17090.956979806848</v>
      </c>
      <c r="J19" s="485"/>
      <c r="K19" s="486"/>
      <c r="L19" s="486"/>
      <c r="M19" s="486"/>
      <c r="N19" s="486"/>
      <c r="O19" s="486"/>
      <c r="P19" s="486"/>
      <c r="Q19" s="486"/>
      <c r="R19" s="486"/>
      <c r="S19" s="486"/>
      <c r="T19" s="486"/>
      <c r="U19" s="486"/>
      <c r="V19" s="486"/>
    </row>
    <row r="20" spans="1:22" s="83" customFormat="1" ht="18.75" customHeight="1">
      <c r="A20" s="80">
        <v>9</v>
      </c>
      <c r="B20" s="439" t="s">
        <v>422</v>
      </c>
      <c r="C20" s="490" t="s">
        <v>71</v>
      </c>
      <c r="D20" s="482">
        <v>12</v>
      </c>
      <c r="E20" s="589">
        <v>4</v>
      </c>
      <c r="F20" s="483">
        <v>60667</v>
      </c>
      <c r="G20" s="482">
        <f t="shared" si="4"/>
        <v>1056</v>
      </c>
      <c r="H20" s="492">
        <f t="shared" si="5"/>
        <v>2912016</v>
      </c>
      <c r="I20" s="601">
        <f t="shared" si="7"/>
        <v>42610.71115013169</v>
      </c>
      <c r="J20" s="485"/>
      <c r="K20" s="486"/>
      <c r="L20" s="486"/>
      <c r="M20" s="486"/>
      <c r="N20" s="486"/>
      <c r="O20" s="486"/>
      <c r="P20" s="486"/>
      <c r="Q20" s="486"/>
      <c r="R20" s="486"/>
      <c r="S20" s="486"/>
      <c r="T20" s="486"/>
      <c r="U20" s="486"/>
      <c r="V20" s="486"/>
    </row>
    <row r="21" spans="1:22" s="83" customFormat="1" ht="18.75" customHeight="1">
      <c r="A21" s="80">
        <v>10</v>
      </c>
      <c r="B21" s="439" t="s">
        <v>423</v>
      </c>
      <c r="C21" s="490" t="s">
        <v>71</v>
      </c>
      <c r="D21" s="482">
        <v>12</v>
      </c>
      <c r="E21" s="589">
        <v>18</v>
      </c>
      <c r="F21" s="492">
        <v>12444</v>
      </c>
      <c r="G21" s="482">
        <f t="shared" si="4"/>
        <v>4752</v>
      </c>
      <c r="H21" s="492">
        <f t="shared" si="5"/>
        <v>2687904</v>
      </c>
      <c r="I21" s="601">
        <f t="shared" si="7"/>
        <v>39331.343283582086</v>
      </c>
      <c r="J21" s="485"/>
      <c r="K21" s="486"/>
      <c r="L21" s="486"/>
      <c r="M21" s="486"/>
      <c r="N21" s="486"/>
      <c r="O21" s="486"/>
      <c r="P21" s="486"/>
      <c r="Q21" s="486"/>
      <c r="R21" s="486"/>
      <c r="S21" s="486"/>
      <c r="T21" s="486"/>
      <c r="U21" s="486"/>
      <c r="V21" s="486"/>
    </row>
    <row r="22" spans="1:22" s="83" customFormat="1" ht="18.75" customHeight="1">
      <c r="A22" s="80">
        <v>11</v>
      </c>
      <c r="B22" s="439" t="s">
        <v>424</v>
      </c>
      <c r="C22" s="490" t="s">
        <v>71</v>
      </c>
      <c r="D22" s="482">
        <v>12</v>
      </c>
      <c r="E22" s="589">
        <v>1</v>
      </c>
      <c r="F22" s="492">
        <v>104444</v>
      </c>
      <c r="G22" s="482">
        <f t="shared" si="4"/>
        <v>264</v>
      </c>
      <c r="H22" s="492">
        <f t="shared" si="5"/>
        <v>1253328</v>
      </c>
      <c r="I22" s="601">
        <f t="shared" si="7"/>
        <v>18339.596136962246</v>
      </c>
      <c r="J22" s="485"/>
      <c r="K22" s="486"/>
      <c r="L22" s="486"/>
      <c r="M22" s="486"/>
      <c r="N22" s="486"/>
      <c r="O22" s="486"/>
      <c r="P22" s="486"/>
      <c r="Q22" s="486"/>
      <c r="R22" s="486"/>
      <c r="S22" s="486"/>
      <c r="T22" s="486"/>
      <c r="U22" s="486"/>
      <c r="V22" s="486"/>
    </row>
    <row r="23" spans="1:22" s="83" customFormat="1" ht="18.75" customHeight="1">
      <c r="A23" s="80">
        <v>12</v>
      </c>
      <c r="B23" s="439" t="s">
        <v>425</v>
      </c>
      <c r="C23" s="490" t="s">
        <v>71</v>
      </c>
      <c r="D23" s="482">
        <v>12</v>
      </c>
      <c r="E23" s="589">
        <v>1</v>
      </c>
      <c r="F23" s="483">
        <v>104444</v>
      </c>
      <c r="G23" s="482">
        <f t="shared" si="4"/>
        <v>264</v>
      </c>
      <c r="H23" s="492">
        <f t="shared" si="5"/>
        <v>1253328</v>
      </c>
      <c r="I23" s="601">
        <f t="shared" si="7"/>
        <v>18339.596136962246</v>
      </c>
      <c r="J23" s="485"/>
      <c r="K23" s="486"/>
      <c r="L23" s="486"/>
      <c r="M23" s="486"/>
      <c r="N23" s="486"/>
      <c r="O23" s="486"/>
      <c r="P23" s="486"/>
      <c r="Q23" s="486"/>
      <c r="R23" s="486"/>
      <c r="S23" s="486"/>
      <c r="T23" s="486"/>
      <c r="U23" s="486"/>
      <c r="V23" s="486"/>
    </row>
    <row r="24" spans="1:22" s="83" customFormat="1" ht="18.75" customHeight="1">
      <c r="A24" s="80">
        <v>13</v>
      </c>
      <c r="B24" s="439" t="s">
        <v>426</v>
      </c>
      <c r="C24" s="490" t="s">
        <v>71</v>
      </c>
      <c r="D24" s="482">
        <v>12</v>
      </c>
      <c r="E24" s="589">
        <v>1</v>
      </c>
      <c r="F24" s="492">
        <v>97333</v>
      </c>
      <c r="G24" s="482">
        <f t="shared" si="4"/>
        <v>264</v>
      </c>
      <c r="H24" s="492">
        <f t="shared" si="5"/>
        <v>1167996</v>
      </c>
      <c r="I24" s="601">
        <f t="shared" si="7"/>
        <v>17090.956979806848</v>
      </c>
      <c r="J24" s="485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</row>
    <row r="25" spans="1:22" s="83" customFormat="1" ht="18.75" customHeight="1">
      <c r="A25" s="80">
        <v>14</v>
      </c>
      <c r="B25" s="439" t="s">
        <v>427</v>
      </c>
      <c r="C25" s="490" t="s">
        <v>71</v>
      </c>
      <c r="D25" s="482">
        <v>12</v>
      </c>
      <c r="E25" s="589">
        <v>1</v>
      </c>
      <c r="F25" s="483">
        <v>83111</v>
      </c>
      <c r="G25" s="482">
        <f t="shared" si="4"/>
        <v>264</v>
      </c>
      <c r="H25" s="492">
        <f t="shared" si="5"/>
        <v>997332</v>
      </c>
      <c r="I25" s="601">
        <f t="shared" si="7"/>
        <v>14593.678665496049</v>
      </c>
      <c r="J25" s="485"/>
      <c r="K25" s="486"/>
      <c r="L25" s="486"/>
      <c r="M25" s="486"/>
      <c r="N25" s="486"/>
      <c r="O25" s="486"/>
      <c r="P25" s="486"/>
      <c r="Q25" s="486"/>
      <c r="R25" s="486"/>
      <c r="S25" s="486"/>
      <c r="T25" s="486"/>
      <c r="U25" s="486"/>
      <c r="V25" s="486"/>
    </row>
    <row r="26" spans="1:22" s="83" customFormat="1" ht="18.75" customHeight="1">
      <c r="A26" s="80">
        <v>15</v>
      </c>
      <c r="B26" s="439" t="s">
        <v>428</v>
      </c>
      <c r="C26" s="490" t="s">
        <v>71</v>
      </c>
      <c r="D26" s="482">
        <v>12</v>
      </c>
      <c r="E26" s="590">
        <v>1</v>
      </c>
      <c r="F26" s="483">
        <v>33667</v>
      </c>
      <c r="G26" s="482">
        <f t="shared" si="4"/>
        <v>264</v>
      </c>
      <c r="H26" s="492">
        <f t="shared" si="5"/>
        <v>404004</v>
      </c>
      <c r="I26" s="601">
        <f t="shared" si="7"/>
        <v>5911.6769095697982</v>
      </c>
      <c r="J26" s="485"/>
      <c r="K26" s="486"/>
      <c r="L26" s="486"/>
      <c r="M26" s="486"/>
      <c r="N26" s="486"/>
      <c r="O26" s="486"/>
      <c r="P26" s="486"/>
      <c r="Q26" s="486"/>
      <c r="R26" s="486"/>
      <c r="S26" s="486"/>
      <c r="T26" s="486"/>
      <c r="U26" s="486"/>
      <c r="V26" s="486"/>
    </row>
    <row r="27" spans="1:22" s="83" customFormat="1" ht="18.75" customHeight="1">
      <c r="A27" s="80">
        <v>16</v>
      </c>
      <c r="B27" s="439" t="s">
        <v>429</v>
      </c>
      <c r="C27" s="490" t="s">
        <v>71</v>
      </c>
      <c r="D27" s="482">
        <v>12</v>
      </c>
      <c r="E27" s="590">
        <v>2</v>
      </c>
      <c r="F27" s="492">
        <v>12444</v>
      </c>
      <c r="G27" s="482">
        <f t="shared" si="4"/>
        <v>528</v>
      </c>
      <c r="H27" s="492">
        <f t="shared" si="5"/>
        <v>298656</v>
      </c>
      <c r="I27" s="601">
        <f t="shared" si="7"/>
        <v>4370.1492537313434</v>
      </c>
      <c r="J27" s="485"/>
      <c r="K27" s="486"/>
      <c r="L27" s="486"/>
      <c r="M27" s="486"/>
      <c r="N27" s="486"/>
      <c r="O27" s="486"/>
      <c r="P27" s="486"/>
      <c r="Q27" s="486"/>
      <c r="R27" s="486"/>
      <c r="S27" s="486"/>
      <c r="T27" s="486"/>
      <c r="U27" s="486"/>
      <c r="V27" s="486"/>
    </row>
    <row r="28" spans="1:22" s="241" customFormat="1" ht="18.75">
      <c r="A28" s="863" t="s">
        <v>70</v>
      </c>
      <c r="B28" s="863"/>
      <c r="C28" s="539"/>
      <c r="D28" s="549"/>
      <c r="E28" s="591">
        <f t="shared" ref="E28:J28" si="8">SUM(E13:E27)</f>
        <v>36</v>
      </c>
      <c r="F28" s="549">
        <f t="shared" si="8"/>
        <v>1105997</v>
      </c>
      <c r="G28" s="550">
        <f>SUM(G13:G27)</f>
        <v>9416</v>
      </c>
      <c r="H28" s="549">
        <f t="shared" si="8"/>
        <v>17650548</v>
      </c>
      <c r="I28" s="602">
        <f t="shared" si="8"/>
        <v>258275.50482879716</v>
      </c>
      <c r="J28" s="549">
        <f t="shared" si="8"/>
        <v>0</v>
      </c>
      <c r="K28" s="462"/>
      <c r="L28" s="462"/>
      <c r="M28" s="462"/>
      <c r="N28" s="462"/>
      <c r="O28" s="462"/>
      <c r="P28" s="462"/>
      <c r="Q28" s="462"/>
      <c r="R28" s="462"/>
      <c r="S28" s="462"/>
      <c r="T28" s="462"/>
      <c r="U28" s="462"/>
      <c r="V28" s="462"/>
    </row>
    <row r="29" spans="1:22" s="110" customFormat="1" ht="27" customHeight="1">
      <c r="A29" s="853" t="s">
        <v>531</v>
      </c>
      <c r="B29" s="854"/>
      <c r="C29" s="489" t="s">
        <v>390</v>
      </c>
      <c r="D29" s="489" t="s">
        <v>481</v>
      </c>
      <c r="E29" s="489" t="s">
        <v>334</v>
      </c>
      <c r="F29" s="489" t="s">
        <v>526</v>
      </c>
      <c r="G29" s="489" t="s">
        <v>508</v>
      </c>
      <c r="H29" s="265" t="s">
        <v>527</v>
      </c>
      <c r="I29" s="603" t="s">
        <v>528</v>
      </c>
      <c r="J29" s="489" t="s">
        <v>69</v>
      </c>
      <c r="K29" s="464"/>
      <c r="L29" s="464"/>
      <c r="M29" s="464"/>
      <c r="N29" s="464"/>
      <c r="O29" s="464"/>
      <c r="P29" s="464"/>
      <c r="Q29" s="464"/>
      <c r="R29" s="464"/>
      <c r="S29" s="464"/>
      <c r="T29" s="464"/>
      <c r="U29" s="464"/>
      <c r="V29" s="464"/>
    </row>
    <row r="30" spans="1:22" s="96" customFormat="1" ht="17.25" customHeight="1">
      <c r="A30" s="258">
        <v>1</v>
      </c>
      <c r="B30" s="439" t="str">
        <f>'Combain plan'!B6</f>
        <v>Land preparation and plotting in the total area 40 jeribs</v>
      </c>
      <c r="C30" s="494" t="str">
        <f>'Combain plan'!C6</f>
        <v>m2</v>
      </c>
      <c r="D30" s="476">
        <f>'Combain plan'!D6</f>
        <v>80000</v>
      </c>
      <c r="E30" s="495">
        <f>'Combain plan'!E6</f>
        <v>80</v>
      </c>
      <c r="F30" s="495">
        <f>'Combain plan'!F6</f>
        <v>5</v>
      </c>
      <c r="G30" s="496">
        <f>D30*1/E30</f>
        <v>1000</v>
      </c>
      <c r="H30" s="497">
        <f>'Combain plan'!H6</f>
        <v>400000</v>
      </c>
      <c r="I30" s="604">
        <f t="shared" si="7"/>
        <v>5853.0875036581792</v>
      </c>
      <c r="J30" s="498"/>
      <c r="K30" s="499"/>
      <c r="L30" s="499"/>
      <c r="M30" s="499"/>
      <c r="N30" s="499"/>
      <c r="O30" s="499"/>
      <c r="P30" s="499"/>
      <c r="Q30" s="499"/>
      <c r="R30" s="499"/>
      <c r="S30" s="499"/>
      <c r="T30" s="499"/>
      <c r="U30" s="499"/>
      <c r="V30" s="499"/>
    </row>
    <row r="31" spans="1:22" s="96" customFormat="1" ht="17.25" customHeight="1">
      <c r="A31" s="258">
        <v>2</v>
      </c>
      <c r="B31" s="439" t="str">
        <f>'Combain plan'!B7</f>
        <v>Cultivation of tree's seeds in the total area of 10 jeribs</v>
      </c>
      <c r="C31" s="494" t="str">
        <f>'Combain plan'!C7</f>
        <v>m2</v>
      </c>
      <c r="D31" s="476">
        <f>'Combain plan'!D7</f>
        <v>20000</v>
      </c>
      <c r="E31" s="495">
        <f>'Combain plan'!E7</f>
        <v>300</v>
      </c>
      <c r="F31" s="495">
        <f>'Combain plan'!F7</f>
        <v>1.3333333333333333</v>
      </c>
      <c r="G31" s="547">
        <f t="shared" ref="G31:G35" si="9">D31*1/E31</f>
        <v>66.666666666666671</v>
      </c>
      <c r="H31" s="497">
        <f>'Combain plan'!H7</f>
        <v>26666.666666666664</v>
      </c>
      <c r="I31" s="604">
        <f t="shared" si="7"/>
        <v>390.20583357721193</v>
      </c>
      <c r="J31" s="498"/>
      <c r="K31" s="499"/>
      <c r="L31" s="499"/>
      <c r="M31" s="499"/>
      <c r="N31" s="499"/>
      <c r="O31" s="499"/>
      <c r="P31" s="499"/>
      <c r="Q31" s="499"/>
      <c r="R31" s="499"/>
      <c r="S31" s="499"/>
      <c r="T31" s="499"/>
      <c r="U31" s="499"/>
      <c r="V31" s="499"/>
    </row>
    <row r="32" spans="1:22" s="96" customFormat="1" ht="17.25" customHeight="1">
      <c r="A32" s="258">
        <v>3</v>
      </c>
      <c r="B32" s="439" t="str">
        <f>'Combain plan'!B8</f>
        <v xml:space="preserve">Filling and cultivation of plastic sacs </v>
      </c>
      <c r="C32" s="494" t="str">
        <f>'Combain plan'!C8</f>
        <v>sac</v>
      </c>
      <c r="D32" s="476">
        <f>'Combain plan'!D8</f>
        <v>188000</v>
      </c>
      <c r="E32" s="495">
        <f>'Combain plan'!E8</f>
        <v>250</v>
      </c>
      <c r="F32" s="495">
        <f>'Combain plan'!F8</f>
        <v>1.6</v>
      </c>
      <c r="G32" s="496">
        <f t="shared" si="9"/>
        <v>752</v>
      </c>
      <c r="H32" s="497">
        <f>'Combain plan'!H8</f>
        <v>300800</v>
      </c>
      <c r="I32" s="604">
        <f t="shared" si="7"/>
        <v>4401.5218027509509</v>
      </c>
      <c r="J32" s="498"/>
      <c r="K32" s="499"/>
      <c r="L32" s="499"/>
      <c r="M32" s="499"/>
      <c r="N32" s="499"/>
      <c r="O32" s="499"/>
      <c r="P32" s="499"/>
      <c r="Q32" s="499"/>
      <c r="R32" s="499"/>
      <c r="S32" s="499"/>
      <c r="T32" s="499"/>
      <c r="U32" s="499"/>
      <c r="V32" s="499"/>
    </row>
    <row r="33" spans="1:22" s="96" customFormat="1" ht="17.25" customHeight="1">
      <c r="A33" s="258">
        <v>4</v>
      </c>
      <c r="B33" s="439" t="str">
        <f>'Combain plan'!B9</f>
        <v>weed control and softing of 41 jeribs lands for 3 times</v>
      </c>
      <c r="C33" s="494" t="str">
        <f>'Combain plan'!C9</f>
        <v>m2</v>
      </c>
      <c r="D33" s="476">
        <f>'Combain plan'!D9</f>
        <v>243000</v>
      </c>
      <c r="E33" s="495">
        <f>'Combain plan'!E9</f>
        <v>80</v>
      </c>
      <c r="F33" s="495">
        <f>'Combain plan'!F9</f>
        <v>5</v>
      </c>
      <c r="G33" s="496">
        <f t="shared" si="9"/>
        <v>3037.5</v>
      </c>
      <c r="H33" s="497">
        <f>'Combain plan'!H9</f>
        <v>1215000</v>
      </c>
      <c r="I33" s="604">
        <f t="shared" si="7"/>
        <v>17778.753292361718</v>
      </c>
      <c r="J33" s="498"/>
      <c r="K33" s="499"/>
      <c r="L33" s="499"/>
      <c r="M33" s="499"/>
      <c r="N33" s="499"/>
      <c r="O33" s="499"/>
      <c r="P33" s="499"/>
      <c r="Q33" s="499"/>
      <c r="R33" s="499"/>
      <c r="S33" s="499"/>
      <c r="T33" s="499"/>
      <c r="U33" s="499"/>
      <c r="V33" s="499"/>
    </row>
    <row r="34" spans="1:22" s="96" customFormat="1" ht="17.25" customHeight="1">
      <c r="A34" s="258">
        <v>5</v>
      </c>
      <c r="B34" s="439" t="str">
        <f>'Combain plan'!B10</f>
        <v>sparse of seedlings</v>
      </c>
      <c r="C34" s="494" t="str">
        <f>'Combain plan'!C10</f>
        <v>seedling</v>
      </c>
      <c r="D34" s="476">
        <f>'Combain plan'!D10</f>
        <v>200000</v>
      </c>
      <c r="E34" s="495">
        <f>'Combain plan'!E10</f>
        <v>250</v>
      </c>
      <c r="F34" s="495">
        <f>'Combain plan'!F10</f>
        <v>1.6</v>
      </c>
      <c r="G34" s="496">
        <f t="shared" si="9"/>
        <v>800</v>
      </c>
      <c r="H34" s="497">
        <f>'Combain plan'!H10</f>
        <v>320000</v>
      </c>
      <c r="I34" s="604">
        <f t="shared" si="7"/>
        <v>4682.4700029265432</v>
      </c>
      <c r="J34" s="498"/>
      <c r="K34" s="499"/>
      <c r="L34" s="499"/>
      <c r="M34" s="499"/>
      <c r="N34" s="499"/>
      <c r="O34" s="499"/>
      <c r="P34" s="499"/>
      <c r="Q34" s="499"/>
      <c r="R34" s="499"/>
      <c r="S34" s="499"/>
      <c r="T34" s="499"/>
      <c r="U34" s="499"/>
      <c r="V34" s="499"/>
    </row>
    <row r="35" spans="1:22" s="96" customFormat="1" ht="17.25" customHeight="1">
      <c r="A35" s="258">
        <v>6</v>
      </c>
      <c r="B35" s="439" t="str">
        <f>'Combain plan'!B11</f>
        <v xml:space="preserve">Preparation of Organic Compost  </v>
      </c>
      <c r="C35" s="494" t="str">
        <f>'Combain plan'!C11</f>
        <v>m3</v>
      </c>
      <c r="D35" s="476">
        <f>'Combain plan'!D11</f>
        <v>100</v>
      </c>
      <c r="E35" s="495">
        <f>'Combain plan'!E11</f>
        <v>1</v>
      </c>
      <c r="F35" s="495">
        <f>'Combain plan'!F11</f>
        <v>400</v>
      </c>
      <c r="G35" s="496">
        <f t="shared" si="9"/>
        <v>100</v>
      </c>
      <c r="H35" s="497">
        <f>'Combain plan'!H11</f>
        <v>40000</v>
      </c>
      <c r="I35" s="604">
        <f t="shared" si="7"/>
        <v>585.3087503658179</v>
      </c>
      <c r="J35" s="498"/>
      <c r="K35" s="499"/>
      <c r="L35" s="499"/>
      <c r="M35" s="499"/>
      <c r="N35" s="499"/>
      <c r="O35" s="499"/>
      <c r="P35" s="499"/>
      <c r="Q35" s="499"/>
      <c r="R35" s="499"/>
      <c r="S35" s="499"/>
      <c r="T35" s="499"/>
      <c r="U35" s="499"/>
      <c r="V35" s="499"/>
    </row>
    <row r="36" spans="1:22" s="259" customFormat="1" ht="24" customHeight="1">
      <c r="A36" s="258">
        <v>7</v>
      </c>
      <c r="B36" s="439" t="str">
        <f>'Combain plan'!B12</f>
        <v>Uprooting off seedling and packing of 127500 saplings</v>
      </c>
      <c r="C36" s="494" t="str">
        <f>'Combain plan'!C12</f>
        <v>seedling</v>
      </c>
      <c r="D36" s="476">
        <f>'Combain plan'!D12</f>
        <v>250000</v>
      </c>
      <c r="E36" s="495">
        <f>'Combain plan'!E12</f>
        <v>60</v>
      </c>
      <c r="F36" s="495">
        <f>'Combain plan'!F12</f>
        <v>6.666666666666667</v>
      </c>
      <c r="G36" s="548">
        <f>D36*1/E36</f>
        <v>4166.666666666667</v>
      </c>
      <c r="H36" s="497">
        <f>'Combain plan'!H12</f>
        <v>1666666.6666666667</v>
      </c>
      <c r="I36" s="604">
        <f t="shared" si="7"/>
        <v>24387.86459857575</v>
      </c>
      <c r="J36" s="395" t="s">
        <v>325</v>
      </c>
      <c r="K36" s="500"/>
      <c r="L36" s="500"/>
      <c r="M36" s="500"/>
      <c r="N36" s="500"/>
      <c r="O36" s="500"/>
      <c r="P36" s="500"/>
      <c r="Q36" s="500"/>
      <c r="R36" s="500"/>
      <c r="S36" s="500"/>
      <c r="T36" s="500"/>
      <c r="U36" s="500"/>
      <c r="V36" s="500"/>
    </row>
    <row r="37" spans="1:22" s="107" customFormat="1" ht="27" customHeight="1">
      <c r="A37" s="855" t="s">
        <v>70</v>
      </c>
      <c r="B37" s="856"/>
      <c r="C37" s="501"/>
      <c r="D37" s="502"/>
      <c r="E37" s="502"/>
      <c r="F37" s="502"/>
      <c r="G37" s="503">
        <f>SUM(G30:G36)</f>
        <v>9922.8333333333339</v>
      </c>
      <c r="H37" s="503">
        <f>SUM(H30:H36)</f>
        <v>3969133.333333334</v>
      </c>
      <c r="I37" s="605">
        <f>SUM(I30:I36)</f>
        <v>58079.211784216168</v>
      </c>
      <c r="J37" s="503"/>
      <c r="K37" s="464"/>
      <c r="L37" s="464"/>
      <c r="M37" s="464"/>
      <c r="N37" s="464"/>
      <c r="O37" s="464"/>
      <c r="P37" s="464"/>
      <c r="Q37" s="464"/>
      <c r="R37" s="464"/>
      <c r="S37" s="464"/>
      <c r="T37" s="464"/>
      <c r="U37" s="464"/>
      <c r="V37" s="464"/>
    </row>
    <row r="38" spans="1:22" s="110" customFormat="1" ht="31.5" customHeight="1">
      <c r="A38" s="857" t="s">
        <v>532</v>
      </c>
      <c r="B38" s="858"/>
      <c r="C38" s="489" t="s">
        <v>390</v>
      </c>
      <c r="D38" s="489" t="s">
        <v>481</v>
      </c>
      <c r="E38" s="489" t="s">
        <v>334</v>
      </c>
      <c r="F38" s="489" t="s">
        <v>526</v>
      </c>
      <c r="G38" s="489" t="s">
        <v>508</v>
      </c>
      <c r="H38" s="265" t="s">
        <v>527</v>
      </c>
      <c r="I38" s="603" t="s">
        <v>528</v>
      </c>
      <c r="J38" s="489" t="s">
        <v>69</v>
      </c>
      <c r="K38" s="464"/>
      <c r="L38" s="464"/>
      <c r="M38" s="464"/>
      <c r="N38" s="464"/>
      <c r="O38" s="464"/>
      <c r="P38" s="464"/>
      <c r="Q38" s="464"/>
      <c r="R38" s="464"/>
      <c r="S38" s="464"/>
      <c r="T38" s="464"/>
      <c r="U38" s="464"/>
      <c r="V38" s="464"/>
    </row>
    <row r="39" spans="1:22" s="110" customFormat="1" ht="18.75" customHeight="1">
      <c r="A39" s="262">
        <v>1</v>
      </c>
      <c r="B39" s="504" t="str">
        <f>'Combain plan'!B16</f>
        <v>Total Area</v>
      </c>
      <c r="C39" s="504" t="str">
        <f>'Combain plan'!C16</f>
        <v>Ha</v>
      </c>
      <c r="D39" s="505">
        <f>'Combain plan'!D16</f>
        <v>415</v>
      </c>
      <c r="E39" s="504"/>
      <c r="F39" s="504"/>
      <c r="G39" s="504"/>
      <c r="H39" s="504"/>
      <c r="I39" s="606">
        <f t="shared" ref="I39:I46" si="10">H39/68.34</f>
        <v>0</v>
      </c>
      <c r="J39" s="506"/>
      <c r="K39" s="464"/>
      <c r="L39" s="464"/>
      <c r="M39" s="464"/>
      <c r="N39" s="464"/>
      <c r="O39" s="464"/>
      <c r="P39" s="464"/>
      <c r="Q39" s="464"/>
      <c r="R39" s="464"/>
      <c r="S39" s="464"/>
      <c r="T39" s="464"/>
      <c r="U39" s="464"/>
      <c r="V39" s="464"/>
    </row>
    <row r="40" spans="1:22" s="110" customFormat="1" ht="18.75" customHeight="1">
      <c r="A40" s="262">
        <v>2</v>
      </c>
      <c r="B40" s="504" t="str">
        <f>'Combain plan'!B17</f>
        <v xml:space="preserve">Construction of Trenching in the size of 2 and 4 meters total </v>
      </c>
      <c r="C40" s="504" t="str">
        <f>'Combain plan'!C17</f>
        <v>m</v>
      </c>
      <c r="D40" s="505">
        <f>'Combain plan'!D17</f>
        <v>691390</v>
      </c>
      <c r="E40" s="505">
        <f>'Combain plan'!E17</f>
        <v>17</v>
      </c>
      <c r="F40" s="504">
        <f>'Combain plan'!F17</f>
        <v>23.529411764705884</v>
      </c>
      <c r="G40" s="504">
        <f>'Combain plan'!G17</f>
        <v>40670</v>
      </c>
      <c r="H40" s="504">
        <f>'Combain plan'!H17</f>
        <v>16268000.000000002</v>
      </c>
      <c r="I40" s="606">
        <f t="shared" si="10"/>
        <v>238045.06877377818</v>
      </c>
      <c r="J40" s="506"/>
      <c r="K40" s="464"/>
      <c r="L40" s="464"/>
      <c r="M40" s="464"/>
      <c r="N40" s="464"/>
      <c r="O40" s="464"/>
      <c r="P40" s="464"/>
      <c r="Q40" s="464"/>
      <c r="R40" s="464"/>
      <c r="S40" s="464"/>
      <c r="T40" s="464"/>
      <c r="U40" s="464"/>
      <c r="V40" s="464"/>
    </row>
    <row r="41" spans="1:22" s="110" customFormat="1" ht="18.75" customHeight="1">
      <c r="A41" s="262">
        <v>3</v>
      </c>
      <c r="B41" s="504" t="str">
        <f>'Combain plan'!B18</f>
        <v>Construction  of Forest Road</v>
      </c>
      <c r="C41" s="507" t="s">
        <v>72</v>
      </c>
      <c r="D41" s="505">
        <f>'Combain plan'!D18</f>
        <v>20750</v>
      </c>
      <c r="E41" s="505">
        <f>'Combain plan'!E18</f>
        <v>17</v>
      </c>
      <c r="F41" s="544">
        <f>'Combain plan'!F18</f>
        <v>23.529411764705884</v>
      </c>
      <c r="G41" s="545">
        <f>'Combain plan'!G18</f>
        <v>1220.5882352941176</v>
      </c>
      <c r="H41" s="504">
        <f>'Combain plan'!H18</f>
        <v>488235.29411764711</v>
      </c>
      <c r="I41" s="606">
        <f>H41/68.34</f>
        <v>7144.2097471121906</v>
      </c>
      <c r="J41" s="506"/>
      <c r="K41" s="464"/>
      <c r="L41" s="464"/>
      <c r="M41" s="464"/>
      <c r="N41" s="464"/>
      <c r="O41" s="464"/>
      <c r="P41" s="464"/>
      <c r="Q41" s="464"/>
      <c r="R41" s="464"/>
      <c r="S41" s="464"/>
      <c r="T41" s="464"/>
      <c r="U41" s="464"/>
      <c r="V41" s="464"/>
    </row>
    <row r="42" spans="1:22" s="110" customFormat="1" ht="18.75" customHeight="1">
      <c r="A42" s="262">
        <v>4</v>
      </c>
      <c r="B42" s="504" t="str">
        <f>'Combain plan'!B19</f>
        <v>Construction of Check dams in the planned areas</v>
      </c>
      <c r="C42" s="504" t="str">
        <f>'Combain plan'!C19</f>
        <v>m3</v>
      </c>
      <c r="D42" s="505">
        <f>'Combain plan'!D19</f>
        <v>415</v>
      </c>
      <c r="E42" s="505">
        <f>'Combain plan'!E19</f>
        <v>0.5</v>
      </c>
      <c r="F42" s="504">
        <f>'Combain plan'!F19</f>
        <v>800</v>
      </c>
      <c r="G42" s="504">
        <f>'Combain plan'!G19</f>
        <v>830</v>
      </c>
      <c r="H42" s="504">
        <f>'Combain plan'!H19</f>
        <v>332000</v>
      </c>
      <c r="I42" s="606">
        <f t="shared" si="10"/>
        <v>4858.0626280362885</v>
      </c>
      <c r="J42" s="506"/>
      <c r="K42" s="464"/>
      <c r="L42" s="464"/>
      <c r="M42" s="464"/>
      <c r="N42" s="464"/>
      <c r="O42" s="464"/>
      <c r="P42" s="464"/>
      <c r="Q42" s="464"/>
      <c r="R42" s="464"/>
      <c r="S42" s="464"/>
      <c r="T42" s="464"/>
      <c r="U42" s="464"/>
      <c r="V42" s="464"/>
    </row>
    <row r="43" spans="1:22" s="110" customFormat="1" ht="18.75" customHeight="1">
      <c r="A43" s="262">
        <v>5</v>
      </c>
      <c r="B43" s="504" t="str">
        <f>'Combain plan'!B20</f>
        <v>Digging  of Pits in the planned areas</v>
      </c>
      <c r="C43" s="504" t="str">
        <f>'Combain plan'!C20</f>
        <v>Pits</v>
      </c>
      <c r="D43" s="505">
        <f>'Combain plan'!D20</f>
        <v>332000</v>
      </c>
      <c r="E43" s="505">
        <f>'Combain plan'!E20</f>
        <v>17</v>
      </c>
      <c r="F43" s="544">
        <f>'Combain plan'!F20</f>
        <v>23.529411764705884</v>
      </c>
      <c r="G43" s="546">
        <f>'Combain plan'!G20</f>
        <v>19529.411764705881</v>
      </c>
      <c r="H43" s="504">
        <f>'Combain plan'!H20</f>
        <v>7811764.7058823537</v>
      </c>
      <c r="I43" s="606">
        <f t="shared" si="10"/>
        <v>114307.35595379505</v>
      </c>
      <c r="J43" s="506"/>
      <c r="K43" s="464"/>
      <c r="L43" s="464"/>
      <c r="M43" s="464"/>
      <c r="N43" s="464"/>
      <c r="O43" s="464"/>
      <c r="P43" s="464"/>
      <c r="Q43" s="464"/>
      <c r="R43" s="464"/>
      <c r="S43" s="464"/>
      <c r="T43" s="464"/>
      <c r="U43" s="464"/>
      <c r="V43" s="464"/>
    </row>
    <row r="44" spans="1:22" s="110" customFormat="1" ht="18.75" customHeight="1">
      <c r="A44" s="262">
        <v>6</v>
      </c>
      <c r="B44" s="504" t="str">
        <f>'Combain plan'!B21</f>
        <v xml:space="preserve">Planting of different sapling </v>
      </c>
      <c r="C44" s="504" t="str">
        <f>'Combain plan'!C21</f>
        <v xml:space="preserve">Saplings </v>
      </c>
      <c r="D44" s="505">
        <f>'Combain plan'!D21</f>
        <v>166000</v>
      </c>
      <c r="E44" s="505">
        <f>'Combain plan'!E21</f>
        <v>50</v>
      </c>
      <c r="F44" s="504">
        <f>'Combain plan'!F21</f>
        <v>8</v>
      </c>
      <c r="G44" s="504">
        <f>'Combain plan'!G21</f>
        <v>3320</v>
      </c>
      <c r="H44" s="504">
        <f>'Combain plan'!H21</f>
        <v>1328000</v>
      </c>
      <c r="I44" s="606">
        <f t="shared" si="10"/>
        <v>19432.250512145154</v>
      </c>
      <c r="J44" s="506"/>
      <c r="K44" s="464"/>
      <c r="L44" s="464"/>
      <c r="M44" s="464"/>
      <c r="N44" s="464"/>
      <c r="O44" s="464"/>
      <c r="P44" s="464"/>
      <c r="Q44" s="464"/>
      <c r="R44" s="464"/>
      <c r="S44" s="464"/>
      <c r="T44" s="464"/>
      <c r="U44" s="464"/>
      <c r="V44" s="464"/>
    </row>
    <row r="45" spans="1:22" s="263" customFormat="1" ht="18.75" customHeight="1">
      <c r="A45" s="262">
        <v>7</v>
      </c>
      <c r="B45" s="504" t="str">
        <f>'Combain plan'!B22</f>
        <v xml:space="preserve">Cultivation of different kinds of perenial forage </v>
      </c>
      <c r="C45" s="504" t="str">
        <f>'Combain plan'!C22</f>
        <v>kg</v>
      </c>
      <c r="D45" s="505">
        <f>'Combain plan'!D22</f>
        <v>101</v>
      </c>
      <c r="E45" s="505">
        <f>'Combain plan'!E22</f>
        <v>1</v>
      </c>
      <c r="F45" s="504">
        <f>'Combain plan'!F22</f>
        <v>400</v>
      </c>
      <c r="G45" s="504">
        <f>'Combain plan'!G22</f>
        <v>101</v>
      </c>
      <c r="H45" s="504">
        <f>'Combain plan'!H22</f>
        <v>40400</v>
      </c>
      <c r="I45" s="606">
        <f t="shared" si="10"/>
        <v>591.16183786947613</v>
      </c>
      <c r="J45" s="459"/>
      <c r="K45" s="508"/>
      <c r="L45" s="508"/>
      <c r="M45" s="508"/>
      <c r="N45" s="508"/>
      <c r="O45" s="508"/>
      <c r="P45" s="508"/>
      <c r="Q45" s="508"/>
      <c r="R45" s="508"/>
      <c r="S45" s="508"/>
      <c r="T45" s="508"/>
      <c r="U45" s="508"/>
      <c r="V45" s="508"/>
    </row>
    <row r="46" spans="1:22" s="263" customFormat="1" ht="18.75" customHeight="1">
      <c r="A46" s="262">
        <v>8</v>
      </c>
      <c r="B46" s="504" t="str">
        <f>'Combain plan'!B23</f>
        <v xml:space="preserve">Cultivation of  seeds of purple, mountain almond  </v>
      </c>
      <c r="C46" s="507" t="s">
        <v>358</v>
      </c>
      <c r="D46" s="505">
        <f>'Combain plan'!D23</f>
        <v>166000</v>
      </c>
      <c r="E46" s="505">
        <f>'Combain plan'!E23</f>
        <v>250</v>
      </c>
      <c r="F46" s="504">
        <f>'Combain plan'!F23</f>
        <v>1.6</v>
      </c>
      <c r="G46" s="504">
        <f>'Combain plan'!G23</f>
        <v>664</v>
      </c>
      <c r="H46" s="504">
        <f>'Combain plan'!H23</f>
        <v>265600</v>
      </c>
      <c r="I46" s="606">
        <f t="shared" si="10"/>
        <v>3886.4501024290312</v>
      </c>
      <c r="J46" s="460"/>
      <c r="K46" s="508"/>
      <c r="L46" s="508"/>
      <c r="M46" s="508"/>
      <c r="N46" s="508"/>
      <c r="O46" s="508"/>
      <c r="P46" s="508"/>
      <c r="Q46" s="508"/>
      <c r="R46" s="508"/>
      <c r="S46" s="508"/>
      <c r="T46" s="508"/>
      <c r="U46" s="508"/>
      <c r="V46" s="508"/>
    </row>
    <row r="47" spans="1:22" s="263" customFormat="1" ht="18.75" customHeight="1">
      <c r="A47" s="262">
        <v>9</v>
      </c>
      <c r="B47" s="504" t="str">
        <f>'Combain plan'!B24</f>
        <v>Irrigation of  planted cuttings by workers for 2 times</v>
      </c>
      <c r="C47" s="504" t="str">
        <f>'Combain plan'!C24</f>
        <v xml:space="preserve">Saplings </v>
      </c>
      <c r="D47" s="505">
        <f>'Combain plan'!D24</f>
        <v>166000</v>
      </c>
      <c r="E47" s="505">
        <f>'Combain plan'!E24</f>
        <v>250</v>
      </c>
      <c r="F47" s="504">
        <f>'Combain plan'!F24</f>
        <v>1.6</v>
      </c>
      <c r="G47" s="504">
        <f>'Combain plan'!G24</f>
        <v>664</v>
      </c>
      <c r="H47" s="504">
        <f>'Combain plan'!H24</f>
        <v>265600</v>
      </c>
      <c r="I47" s="606">
        <f>H47/68.34</f>
        <v>3886.4501024290312</v>
      </c>
      <c r="J47" s="461"/>
      <c r="K47" s="508"/>
      <c r="L47" s="508"/>
      <c r="M47" s="508"/>
      <c r="N47" s="508"/>
      <c r="O47" s="508"/>
      <c r="P47" s="508"/>
      <c r="Q47" s="508"/>
      <c r="R47" s="508"/>
      <c r="S47" s="508"/>
      <c r="T47" s="508"/>
      <c r="U47" s="508"/>
      <c r="V47" s="508"/>
    </row>
    <row r="48" spans="1:22" s="107" customFormat="1" ht="27" customHeight="1">
      <c r="A48" s="855" t="s">
        <v>70</v>
      </c>
      <c r="B48" s="856"/>
      <c r="C48" s="502"/>
      <c r="D48" s="503"/>
      <c r="E48" s="502"/>
      <c r="F48" s="502"/>
      <c r="G48" s="503">
        <f>SUM(G40:G47)</f>
        <v>66999</v>
      </c>
      <c r="H48" s="503">
        <f>SUM(H39:H47)</f>
        <v>26799600</v>
      </c>
      <c r="I48" s="605">
        <f>SUM(I39:I47)</f>
        <v>392151.00965759438</v>
      </c>
      <c r="J48" s="503"/>
      <c r="K48" s="464"/>
      <c r="L48" s="464"/>
      <c r="M48" s="464"/>
      <c r="N48" s="464"/>
      <c r="O48" s="464"/>
      <c r="P48" s="464"/>
      <c r="Q48" s="464"/>
      <c r="R48" s="464"/>
      <c r="S48" s="464"/>
      <c r="T48" s="464"/>
      <c r="U48" s="464"/>
      <c r="V48" s="464"/>
    </row>
    <row r="49" spans="1:22" s="240" customFormat="1" ht="30" customHeight="1">
      <c r="A49" s="853" t="s">
        <v>533</v>
      </c>
      <c r="B49" s="854"/>
      <c r="C49" s="489" t="s">
        <v>390</v>
      </c>
      <c r="D49" s="489" t="s">
        <v>481</v>
      </c>
      <c r="E49" s="592" t="s">
        <v>334</v>
      </c>
      <c r="F49" s="592" t="s">
        <v>526</v>
      </c>
      <c r="G49" s="592" t="s">
        <v>508</v>
      </c>
      <c r="H49" s="265" t="s">
        <v>527</v>
      </c>
      <c r="I49" s="603" t="s">
        <v>528</v>
      </c>
      <c r="J49" s="489" t="s">
        <v>69</v>
      </c>
      <c r="K49" s="469"/>
      <c r="L49" s="469"/>
      <c r="M49" s="469"/>
      <c r="N49" s="469"/>
      <c r="O49" s="469"/>
      <c r="P49" s="469"/>
      <c r="Q49" s="469"/>
      <c r="R49" s="469"/>
      <c r="S49" s="469"/>
      <c r="T49" s="469"/>
      <c r="U49" s="469"/>
      <c r="V49" s="469"/>
    </row>
    <row r="50" spans="1:22" s="110" customFormat="1" ht="22.5" customHeight="1">
      <c r="A50" s="108">
        <v>1</v>
      </c>
      <c r="B50" s="440" t="str">
        <f>'Combain plan'!B28</f>
        <v>Total Area</v>
      </c>
      <c r="C50" s="510" t="str">
        <f>'Combain plan'!C28</f>
        <v>Ha</v>
      </c>
      <c r="D50" s="483">
        <f>'Combain plan'!D28</f>
        <v>1123.5</v>
      </c>
      <c r="E50" s="483">
        <f>'Combain plan'!E28</f>
        <v>0</v>
      </c>
      <c r="F50" s="511">
        <f>'Combain plan'!F28</f>
        <v>0</v>
      </c>
      <c r="G50" s="483">
        <f>'Combain plan'!G28</f>
        <v>0</v>
      </c>
      <c r="H50" s="483">
        <f>'Combain plan'!H28</f>
        <v>0</v>
      </c>
      <c r="I50" s="607">
        <f>H50/68.34</f>
        <v>0</v>
      </c>
      <c r="J50" s="483">
        <f>D50/1000</f>
        <v>1.1234999999999999</v>
      </c>
      <c r="K50" s="464"/>
      <c r="L50" s="464"/>
      <c r="M50" s="464"/>
      <c r="N50" s="464"/>
      <c r="O50" s="464"/>
      <c r="P50" s="464"/>
      <c r="Q50" s="464"/>
      <c r="R50" s="464"/>
      <c r="S50" s="464"/>
      <c r="T50" s="464"/>
      <c r="U50" s="464"/>
      <c r="V50" s="464"/>
    </row>
    <row r="51" spans="1:22" s="83" customFormat="1" ht="22.5" customHeight="1">
      <c r="A51" s="108">
        <v>2</v>
      </c>
      <c r="B51" s="440" t="str">
        <f>'Combain plan'!B29</f>
        <v>Irrigation of  plastic sacs</v>
      </c>
      <c r="C51" s="510" t="s">
        <v>452</v>
      </c>
      <c r="D51" s="483">
        <f>'Combain plan'!D29</f>
        <v>1749000</v>
      </c>
      <c r="E51" s="483">
        <f>'Combain plan'!E29</f>
        <v>2000</v>
      </c>
      <c r="F51" s="511">
        <f>'Combain plan'!F29</f>
        <v>0.2</v>
      </c>
      <c r="G51" s="483">
        <f>'Combain plan'!G29</f>
        <v>874.5</v>
      </c>
      <c r="H51" s="483">
        <f>'Combain plan'!H29</f>
        <v>349800</v>
      </c>
      <c r="I51" s="607">
        <f t="shared" ref="I51:I59" si="11">H51/68.34</f>
        <v>5118.5250219490781</v>
      </c>
      <c r="J51" s="485"/>
      <c r="K51" s="486"/>
      <c r="L51" s="486"/>
      <c r="M51" s="486"/>
      <c r="N51" s="486"/>
      <c r="O51" s="486"/>
      <c r="P51" s="486"/>
      <c r="Q51" s="486"/>
      <c r="R51" s="486"/>
      <c r="S51" s="486"/>
      <c r="T51" s="486"/>
      <c r="U51" s="486"/>
      <c r="V51" s="486"/>
    </row>
    <row r="52" spans="1:22" s="83" customFormat="1" ht="22.5" customHeight="1">
      <c r="A52" s="108">
        <v>3</v>
      </c>
      <c r="B52" s="440" t="str">
        <f>'Combain plan'!B30</f>
        <v>Irrigation of last year planted trees and direct seedings</v>
      </c>
      <c r="C52" s="510" t="s">
        <v>393</v>
      </c>
      <c r="D52" s="483">
        <f>'Combain plan'!D30</f>
        <v>7809111</v>
      </c>
      <c r="E52" s="483">
        <f>'Combain plan'!E30</f>
        <v>250</v>
      </c>
      <c r="F52" s="511">
        <f>'Combain plan'!F30</f>
        <v>1.6</v>
      </c>
      <c r="G52" s="483">
        <f>'Combain plan'!G30</f>
        <v>31236.444</v>
      </c>
      <c r="H52" s="483">
        <f>'Combain plan'!H30</f>
        <v>12494577.6</v>
      </c>
      <c r="I52" s="607">
        <f t="shared" si="11"/>
        <v>182829.6400351185</v>
      </c>
      <c r="J52" s="485"/>
      <c r="K52" s="486"/>
      <c r="L52" s="486"/>
      <c r="M52" s="486"/>
      <c r="N52" s="486"/>
      <c r="O52" s="486"/>
      <c r="P52" s="486"/>
      <c r="Q52" s="486"/>
      <c r="R52" s="486"/>
      <c r="S52" s="486"/>
      <c r="T52" s="486"/>
      <c r="U52" s="486"/>
      <c r="V52" s="486"/>
    </row>
    <row r="53" spans="1:22" s="83" customFormat="1" ht="22.5" customHeight="1">
      <c r="A53" s="108">
        <v>4</v>
      </c>
      <c r="B53" s="440" t="str">
        <f>'Combain plan'!B31</f>
        <v>Repairing of traces and pits</v>
      </c>
      <c r="C53" s="510" t="s">
        <v>393</v>
      </c>
      <c r="D53" s="483">
        <f>'Combain plan'!D31</f>
        <v>76290.2</v>
      </c>
      <c r="E53" s="483">
        <f>'Combain plan'!E31</f>
        <v>100</v>
      </c>
      <c r="F53" s="511">
        <f>'Combain plan'!F31</f>
        <v>4</v>
      </c>
      <c r="G53" s="483">
        <f>'Combain plan'!G31</f>
        <v>762.90199999999993</v>
      </c>
      <c r="H53" s="483">
        <f>'Combain plan'!H31</f>
        <v>305160.8</v>
      </c>
      <c r="I53" s="607">
        <f t="shared" si="11"/>
        <v>4465.3321627158321</v>
      </c>
      <c r="J53" s="485"/>
      <c r="K53" s="486"/>
      <c r="L53" s="486"/>
      <c r="M53" s="486"/>
      <c r="N53" s="486"/>
      <c r="O53" s="486"/>
      <c r="P53" s="486"/>
      <c r="Q53" s="486"/>
      <c r="R53" s="486"/>
      <c r="S53" s="486"/>
      <c r="T53" s="486"/>
      <c r="U53" s="486"/>
      <c r="V53" s="486"/>
    </row>
    <row r="54" spans="1:22" s="83" customFormat="1" ht="33" customHeight="1">
      <c r="A54" s="108">
        <v>5</v>
      </c>
      <c r="B54" s="440" t="str">
        <f>'Combain plan'!B32</f>
        <v>Mulching of planted trees for weed control and protecting the stem form the direct sun shine</v>
      </c>
      <c r="C54" s="510" t="s">
        <v>393</v>
      </c>
      <c r="D54" s="483">
        <f>'Combain plan'!D32</f>
        <v>381451</v>
      </c>
      <c r="E54" s="483">
        <f>'Combain plan'!E32</f>
        <v>400</v>
      </c>
      <c r="F54" s="511">
        <f>'Combain plan'!F32</f>
        <v>1</v>
      </c>
      <c r="G54" s="483">
        <f>'Combain plan'!G32</f>
        <v>953.62750000000005</v>
      </c>
      <c r="H54" s="483">
        <f>'Combain plan'!H32</f>
        <v>381451</v>
      </c>
      <c r="I54" s="607">
        <f t="shared" si="11"/>
        <v>5581.6652033947903</v>
      </c>
      <c r="J54" s="485"/>
      <c r="K54" s="486"/>
      <c r="L54" s="486"/>
      <c r="M54" s="486"/>
      <c r="N54" s="486"/>
      <c r="O54" s="486"/>
      <c r="P54" s="486"/>
      <c r="Q54" s="486"/>
      <c r="R54" s="486"/>
      <c r="S54" s="486"/>
      <c r="T54" s="486"/>
      <c r="U54" s="486"/>
      <c r="V54" s="486"/>
    </row>
    <row r="55" spans="1:22" s="83" customFormat="1" ht="22.5" customHeight="1">
      <c r="A55" s="108">
        <v>6</v>
      </c>
      <c r="B55" s="440" t="str">
        <f>'Combain plan'!B33</f>
        <v>Filling and cultivation of the plastic sacs</v>
      </c>
      <c r="C55" s="510" t="s">
        <v>452</v>
      </c>
      <c r="D55" s="483">
        <f>'Combain plan'!D33</f>
        <v>114435.3</v>
      </c>
      <c r="E55" s="483">
        <f>'Combain plan'!E33</f>
        <v>250</v>
      </c>
      <c r="F55" s="511">
        <f>'Combain plan'!F33</f>
        <v>1.6</v>
      </c>
      <c r="G55" s="483">
        <f>'Combain plan'!G33</f>
        <v>457.74119999999999</v>
      </c>
      <c r="H55" s="483">
        <f>'Combain plan'!H33</f>
        <v>183096.48</v>
      </c>
      <c r="I55" s="607">
        <f t="shared" si="11"/>
        <v>2679.1992976294996</v>
      </c>
      <c r="J55" s="485"/>
      <c r="K55" s="486"/>
      <c r="L55" s="486"/>
      <c r="M55" s="486"/>
      <c r="N55" s="486"/>
      <c r="O55" s="486"/>
      <c r="P55" s="486"/>
      <c r="Q55" s="486"/>
      <c r="R55" s="486"/>
      <c r="S55" s="486"/>
      <c r="T55" s="486"/>
      <c r="U55" s="486"/>
      <c r="V55" s="486"/>
    </row>
    <row r="56" spans="1:22" s="83" customFormat="1" ht="22.5" customHeight="1">
      <c r="A56" s="108">
        <v>7</v>
      </c>
      <c r="B56" s="440" t="str">
        <f>'Combain plan'!B34</f>
        <v xml:space="preserve">Replacing of death plants by the planted plastic sacs  </v>
      </c>
      <c r="C56" s="510" t="s">
        <v>393</v>
      </c>
      <c r="D56" s="483">
        <f>'Combain plan'!D34</f>
        <v>38145.100000000006</v>
      </c>
      <c r="E56" s="483">
        <f>'Combain plan'!E34</f>
        <v>50</v>
      </c>
      <c r="F56" s="511">
        <f>'Combain plan'!F34</f>
        <v>8</v>
      </c>
      <c r="G56" s="483">
        <f>'Combain plan'!G34</f>
        <v>762.90200000000016</v>
      </c>
      <c r="H56" s="483">
        <f>'Combain plan'!H34</f>
        <v>305160.80000000005</v>
      </c>
      <c r="I56" s="607">
        <f t="shared" si="11"/>
        <v>4465.332162715833</v>
      </c>
      <c r="J56" s="485"/>
      <c r="K56" s="486"/>
      <c r="L56" s="486"/>
      <c r="M56" s="486"/>
      <c r="N56" s="486"/>
      <c r="O56" s="486"/>
      <c r="P56" s="486"/>
      <c r="Q56" s="486"/>
      <c r="R56" s="486"/>
      <c r="S56" s="486"/>
      <c r="T56" s="486"/>
      <c r="U56" s="486"/>
      <c r="V56" s="486"/>
    </row>
    <row r="57" spans="1:22" s="83" customFormat="1" ht="30" customHeight="1">
      <c r="A57" s="108">
        <v>8</v>
      </c>
      <c r="B57" s="440" t="str">
        <f>'Combain plan'!B35</f>
        <v xml:space="preserve">cultivation of deffernt kind of sapplings </v>
      </c>
      <c r="C57" s="510" t="s">
        <v>393</v>
      </c>
      <c r="D57" s="483">
        <f>'Combain plan'!D35</f>
        <v>104000</v>
      </c>
      <c r="E57" s="483">
        <f>'Combain plan'!E35</f>
        <v>50</v>
      </c>
      <c r="F57" s="511">
        <f>'Combain plan'!F35</f>
        <v>8</v>
      </c>
      <c r="G57" s="483">
        <f>'Combain plan'!G35</f>
        <v>2080</v>
      </c>
      <c r="H57" s="483">
        <f>'Combain plan'!H35</f>
        <v>832000</v>
      </c>
      <c r="I57" s="607">
        <f t="shared" si="11"/>
        <v>12174.422007609013</v>
      </c>
      <c r="J57" s="485"/>
      <c r="K57" s="486"/>
      <c r="L57" s="486"/>
      <c r="M57" s="486"/>
      <c r="N57" s="486"/>
      <c r="O57" s="486"/>
      <c r="P57" s="486"/>
      <c r="Q57" s="486"/>
      <c r="R57" s="486"/>
      <c r="S57" s="486"/>
      <c r="T57" s="486"/>
      <c r="U57" s="486"/>
      <c r="V57" s="486"/>
    </row>
    <row r="58" spans="1:22" s="83" customFormat="1" ht="29.25" customHeight="1">
      <c r="A58" s="108">
        <v>9</v>
      </c>
      <c r="B58" s="440" t="str">
        <f>'Combain plan'!B36</f>
        <v xml:space="preserve">Irrigation of new  cultivated plants of autom season and repalced sapplings  for 2 times </v>
      </c>
      <c r="C58" s="510" t="s">
        <v>393</v>
      </c>
      <c r="D58" s="483">
        <f>'Combain plan'!D36</f>
        <v>101679.09999999999</v>
      </c>
      <c r="E58" s="483">
        <f>'Combain plan'!E36</f>
        <v>250</v>
      </c>
      <c r="F58" s="511">
        <f>'Combain plan'!F36</f>
        <v>1.6</v>
      </c>
      <c r="G58" s="483">
        <f>'Combain plan'!G36</f>
        <v>406.71639999999996</v>
      </c>
      <c r="H58" s="483">
        <f>'Combain plan'!H36</f>
        <v>162686.56</v>
      </c>
      <c r="I58" s="607">
        <f t="shared" si="11"/>
        <v>2380.5466783728416</v>
      </c>
      <c r="J58" s="485"/>
      <c r="K58" s="486"/>
      <c r="L58" s="486"/>
      <c r="M58" s="486"/>
      <c r="N58" s="486"/>
      <c r="O58" s="486"/>
      <c r="P58" s="486"/>
      <c r="Q58" s="486"/>
      <c r="R58" s="486"/>
      <c r="S58" s="486"/>
      <c r="T58" s="486"/>
      <c r="U58" s="486"/>
      <c r="V58" s="486"/>
    </row>
    <row r="59" spans="1:22" s="83" customFormat="1" ht="22.5" customHeight="1">
      <c r="A59" s="108">
        <v>10</v>
      </c>
      <c r="B59" s="440" t="str">
        <f>'Combain plan'!B37</f>
        <v xml:space="preserve">Irrigation of cultivated plants by MAIL water tankers </v>
      </c>
      <c r="C59" s="510" t="s">
        <v>393</v>
      </c>
      <c r="D59" s="483">
        <f>'Combain plan'!D37</f>
        <v>187846</v>
      </c>
      <c r="E59" s="483">
        <f>'Combain plan'!E37</f>
        <v>70</v>
      </c>
      <c r="F59" s="511">
        <f>'Combain plan'!F37</f>
        <v>5.7142857142857144</v>
      </c>
      <c r="G59" s="483">
        <f>'Combain plan'!G37</f>
        <v>2683.5142857142855</v>
      </c>
      <c r="H59" s="483">
        <f>'Combain plan'!H37</f>
        <v>1073405.7142857141</v>
      </c>
      <c r="I59" s="607">
        <f t="shared" si="11"/>
        <v>15706.843931602489</v>
      </c>
      <c r="J59" s="485"/>
      <c r="K59" s="486"/>
      <c r="L59" s="486"/>
      <c r="M59" s="486"/>
      <c r="N59" s="486"/>
      <c r="O59" s="486"/>
      <c r="P59" s="486"/>
      <c r="Q59" s="486"/>
      <c r="R59" s="486"/>
      <c r="S59" s="486"/>
      <c r="T59" s="486"/>
      <c r="U59" s="486"/>
      <c r="V59" s="486"/>
    </row>
    <row r="60" spans="1:22" s="120" customFormat="1" ht="26.25" customHeight="1">
      <c r="A60" s="855" t="s">
        <v>70</v>
      </c>
      <c r="B60" s="856"/>
      <c r="C60" s="502"/>
      <c r="D60" s="502"/>
      <c r="E60" s="502"/>
      <c r="F60" s="502"/>
      <c r="G60" s="503">
        <f>SUM(G50:G59)</f>
        <v>40218.347385714282</v>
      </c>
      <c r="H60" s="503">
        <f>SUM(H50:H59)</f>
        <v>16087338.954285717</v>
      </c>
      <c r="I60" s="605">
        <f>SUM(I50:I59)</f>
        <v>235401.50650110788</v>
      </c>
      <c r="J60" s="503">
        <f>SUM(J51:J56)</f>
        <v>0</v>
      </c>
      <c r="K60" s="464"/>
      <c r="L60" s="464"/>
      <c r="M60" s="464"/>
      <c r="N60" s="464"/>
      <c r="O60" s="464"/>
      <c r="P60" s="464"/>
      <c r="Q60" s="464"/>
      <c r="R60" s="464"/>
      <c r="S60" s="464"/>
      <c r="T60" s="464"/>
      <c r="U60" s="464"/>
      <c r="V60" s="464"/>
    </row>
    <row r="61" spans="1:22" s="241" customFormat="1" ht="30" customHeight="1">
      <c r="A61" s="853" t="s">
        <v>519</v>
      </c>
      <c r="B61" s="854"/>
      <c r="C61" s="466" t="s">
        <v>390</v>
      </c>
      <c r="D61" s="467" t="s">
        <v>481</v>
      </c>
      <c r="E61" s="467" t="s">
        <v>334</v>
      </c>
      <c r="F61" s="467" t="s">
        <v>526</v>
      </c>
      <c r="G61" s="467" t="s">
        <v>508</v>
      </c>
      <c r="H61" s="467" t="s">
        <v>527</v>
      </c>
      <c r="I61" s="595" t="s">
        <v>528</v>
      </c>
      <c r="J61" s="468" t="s">
        <v>69</v>
      </c>
      <c r="K61" s="462"/>
      <c r="L61" s="462"/>
      <c r="M61" s="462"/>
      <c r="N61" s="462"/>
      <c r="O61" s="462"/>
      <c r="P61" s="462"/>
      <c r="Q61" s="462"/>
      <c r="R61" s="462"/>
      <c r="S61" s="462"/>
      <c r="T61" s="462"/>
      <c r="U61" s="462"/>
      <c r="V61" s="462"/>
    </row>
    <row r="62" spans="1:22" s="83" customFormat="1" ht="18" customHeight="1">
      <c r="A62" s="81">
        <v>1</v>
      </c>
      <c r="B62" s="509" t="s">
        <v>374</v>
      </c>
      <c r="C62" s="490" t="s">
        <v>534</v>
      </c>
      <c r="D62" s="590">
        <v>3000</v>
      </c>
      <c r="E62" s="492"/>
      <c r="F62" s="492">
        <v>100</v>
      </c>
      <c r="G62" s="476"/>
      <c r="H62" s="476">
        <f t="shared" ref="H62:H73" si="12">F62*D62</f>
        <v>300000</v>
      </c>
      <c r="I62" s="601">
        <f t="shared" ref="I62:I73" si="13">H62/68.34</f>
        <v>4389.8156277436346</v>
      </c>
      <c r="J62" s="485"/>
      <c r="K62" s="486"/>
      <c r="L62" s="486"/>
      <c r="M62" s="486"/>
      <c r="N62" s="486"/>
      <c r="O62" s="486"/>
      <c r="P62" s="486"/>
      <c r="Q62" s="486"/>
      <c r="R62" s="486"/>
      <c r="S62" s="486"/>
      <c r="T62" s="486"/>
      <c r="U62" s="486"/>
      <c r="V62" s="486"/>
    </row>
    <row r="63" spans="1:22" s="83" customFormat="1" ht="31.5" customHeight="1">
      <c r="A63" s="81">
        <v>2</v>
      </c>
      <c r="B63" s="512" t="s">
        <v>375</v>
      </c>
      <c r="C63" s="490" t="s">
        <v>393</v>
      </c>
      <c r="D63" s="590">
        <v>2</v>
      </c>
      <c r="E63" s="492"/>
      <c r="F63" s="492">
        <v>40000</v>
      </c>
      <c r="G63" s="476"/>
      <c r="H63" s="476">
        <f t="shared" si="12"/>
        <v>80000</v>
      </c>
      <c r="I63" s="601">
        <f t="shared" si="13"/>
        <v>1170.6175007316358</v>
      </c>
      <c r="J63" s="485"/>
      <c r="K63" s="486"/>
      <c r="L63" s="486"/>
      <c r="M63" s="486"/>
      <c r="N63" s="486"/>
      <c r="O63" s="486"/>
      <c r="P63" s="486"/>
      <c r="Q63" s="486"/>
      <c r="R63" s="486"/>
      <c r="S63" s="486"/>
      <c r="T63" s="486"/>
      <c r="U63" s="486"/>
      <c r="V63" s="486"/>
    </row>
    <row r="64" spans="1:22" s="83" customFormat="1" ht="17.25" customHeight="1">
      <c r="A64" s="81">
        <v>3</v>
      </c>
      <c r="B64" s="512" t="s">
        <v>376</v>
      </c>
      <c r="C64" s="490" t="s">
        <v>159</v>
      </c>
      <c r="D64" s="590">
        <v>185</v>
      </c>
      <c r="E64" s="492"/>
      <c r="F64" s="492">
        <v>1000</v>
      </c>
      <c r="G64" s="476"/>
      <c r="H64" s="476">
        <f t="shared" si="12"/>
        <v>185000</v>
      </c>
      <c r="I64" s="601">
        <f t="shared" si="13"/>
        <v>2707.0529704419077</v>
      </c>
      <c r="J64" s="485"/>
      <c r="K64" s="486"/>
      <c r="L64" s="486"/>
      <c r="M64" s="486"/>
      <c r="N64" s="486"/>
      <c r="O64" s="486"/>
      <c r="P64" s="486"/>
      <c r="Q64" s="486"/>
      <c r="R64" s="486"/>
      <c r="S64" s="486"/>
      <c r="T64" s="486"/>
      <c r="U64" s="486"/>
      <c r="V64" s="486"/>
    </row>
    <row r="65" spans="1:22" s="83" customFormat="1" ht="22.5" customHeight="1">
      <c r="A65" s="81">
        <v>4</v>
      </c>
      <c r="B65" s="490" t="s">
        <v>377</v>
      </c>
      <c r="C65" s="490" t="s">
        <v>535</v>
      </c>
      <c r="D65" s="590">
        <v>30</v>
      </c>
      <c r="E65" s="492"/>
      <c r="F65" s="492">
        <v>2000</v>
      </c>
      <c r="G65" s="476"/>
      <c r="H65" s="476">
        <f t="shared" si="12"/>
        <v>60000</v>
      </c>
      <c r="I65" s="601">
        <f t="shared" si="13"/>
        <v>877.96312554872691</v>
      </c>
      <c r="J65" s="485"/>
      <c r="K65" s="486"/>
      <c r="L65" s="486"/>
      <c r="M65" s="486"/>
      <c r="N65" s="486"/>
      <c r="O65" s="486"/>
      <c r="P65" s="486"/>
      <c r="Q65" s="486"/>
      <c r="R65" s="486"/>
      <c r="S65" s="486"/>
      <c r="T65" s="486"/>
      <c r="U65" s="486"/>
      <c r="V65" s="486"/>
    </row>
    <row r="66" spans="1:22" s="83" customFormat="1" ht="21" customHeight="1">
      <c r="A66" s="81">
        <v>5</v>
      </c>
      <c r="B66" s="513" t="s">
        <v>378</v>
      </c>
      <c r="C66" s="490" t="s">
        <v>536</v>
      </c>
      <c r="D66" s="590">
        <v>1</v>
      </c>
      <c r="E66" s="492"/>
      <c r="F66" s="492">
        <v>206500</v>
      </c>
      <c r="G66" s="476"/>
      <c r="H66" s="476">
        <f t="shared" si="12"/>
        <v>206500</v>
      </c>
      <c r="I66" s="601">
        <f t="shared" ref="I66" si="14">H66/68.34</f>
        <v>3021.6564237635353</v>
      </c>
      <c r="J66" s="485"/>
      <c r="K66" s="486"/>
      <c r="L66" s="486"/>
      <c r="M66" s="486"/>
      <c r="N66" s="486"/>
      <c r="O66" s="486"/>
      <c r="P66" s="486"/>
      <c r="Q66" s="486"/>
      <c r="R66" s="486"/>
      <c r="S66" s="486"/>
      <c r="T66" s="486"/>
      <c r="U66" s="486"/>
      <c r="V66" s="486"/>
    </row>
    <row r="67" spans="1:22" s="83" customFormat="1" ht="21" customHeight="1">
      <c r="A67" s="81">
        <v>6</v>
      </c>
      <c r="B67" s="514" t="s">
        <v>379</v>
      </c>
      <c r="C67" s="490" t="s">
        <v>393</v>
      </c>
      <c r="D67" s="590">
        <v>6</v>
      </c>
      <c r="E67" s="492"/>
      <c r="F67" s="492">
        <v>5000</v>
      </c>
      <c r="G67" s="492"/>
      <c r="H67" s="476">
        <f t="shared" si="12"/>
        <v>30000</v>
      </c>
      <c r="I67" s="601">
        <f t="shared" si="13"/>
        <v>438.98156277436345</v>
      </c>
      <c r="J67" s="485"/>
      <c r="K67" s="486"/>
      <c r="L67" s="486"/>
      <c r="M67" s="486"/>
      <c r="N67" s="486"/>
      <c r="O67" s="486"/>
      <c r="P67" s="486"/>
      <c r="Q67" s="486"/>
      <c r="R67" s="486"/>
      <c r="S67" s="486"/>
      <c r="T67" s="486"/>
      <c r="U67" s="486"/>
      <c r="V67" s="486"/>
    </row>
    <row r="68" spans="1:22" s="83" customFormat="1" ht="18" customHeight="1">
      <c r="A68" s="81">
        <v>7</v>
      </c>
      <c r="B68" s="512" t="s">
        <v>380</v>
      </c>
      <c r="C68" s="490"/>
      <c r="D68" s="590">
        <v>1</v>
      </c>
      <c r="E68" s="492"/>
      <c r="F68" s="492">
        <v>459999.83</v>
      </c>
      <c r="G68" s="492"/>
      <c r="H68" s="476">
        <f>F68*D68</f>
        <v>459999.83</v>
      </c>
      <c r="I68" s="601">
        <f t="shared" si="13"/>
        <v>6731.0481416447174</v>
      </c>
      <c r="J68" s="485"/>
      <c r="K68" s="486"/>
      <c r="L68" s="486"/>
      <c r="M68" s="486"/>
      <c r="N68" s="486"/>
      <c r="O68" s="486"/>
      <c r="P68" s="486"/>
      <c r="Q68" s="486"/>
      <c r="R68" s="486"/>
      <c r="S68" s="486"/>
      <c r="T68" s="486"/>
      <c r="U68" s="486"/>
      <c r="V68" s="486"/>
    </row>
    <row r="69" spans="1:22" s="83" customFormat="1" ht="34.5" customHeight="1">
      <c r="A69" s="81">
        <v>8</v>
      </c>
      <c r="B69" s="515" t="s">
        <v>381</v>
      </c>
      <c r="C69" s="490"/>
      <c r="D69" s="590">
        <v>1</v>
      </c>
      <c r="E69" s="492"/>
      <c r="F69" s="492">
        <v>2500000</v>
      </c>
      <c r="G69" s="492"/>
      <c r="H69" s="476">
        <f t="shared" si="12"/>
        <v>2500000</v>
      </c>
      <c r="I69" s="601">
        <f t="shared" si="13"/>
        <v>36581.79689786362</v>
      </c>
      <c r="J69" s="485"/>
      <c r="K69" s="486"/>
      <c r="L69" s="486"/>
      <c r="M69" s="486"/>
      <c r="N69" s="486"/>
      <c r="O69" s="486"/>
      <c r="P69" s="486"/>
      <c r="Q69" s="486"/>
      <c r="R69" s="486"/>
      <c r="S69" s="486"/>
      <c r="T69" s="486"/>
      <c r="U69" s="486"/>
      <c r="V69" s="486"/>
    </row>
    <row r="70" spans="1:22" s="83" customFormat="1" ht="22.5" customHeight="1">
      <c r="A70" s="81">
        <v>9</v>
      </c>
      <c r="B70" s="512" t="s">
        <v>382</v>
      </c>
      <c r="C70" s="490"/>
      <c r="D70" s="590">
        <v>1</v>
      </c>
      <c r="E70" s="492"/>
      <c r="F70" s="492">
        <v>807788</v>
      </c>
      <c r="G70" s="492"/>
      <c r="H70" s="476">
        <f>F70*D70</f>
        <v>807788</v>
      </c>
      <c r="I70" s="601">
        <f t="shared" si="13"/>
        <v>11820.134621012583</v>
      </c>
      <c r="J70" s="485"/>
      <c r="K70" s="486"/>
      <c r="L70" s="486"/>
      <c r="M70" s="486"/>
      <c r="N70" s="486"/>
      <c r="O70" s="486"/>
      <c r="P70" s="486"/>
      <c r="Q70" s="486"/>
      <c r="R70" s="486"/>
      <c r="S70" s="486"/>
      <c r="T70" s="486"/>
      <c r="U70" s="486"/>
      <c r="V70" s="486"/>
    </row>
    <row r="71" spans="1:22" s="83" customFormat="1" ht="34.5" customHeight="1">
      <c r="A71" s="81">
        <v>10</v>
      </c>
      <c r="B71" s="515" t="s">
        <v>386</v>
      </c>
      <c r="C71" s="490"/>
      <c r="D71" s="590">
        <v>1</v>
      </c>
      <c r="E71" s="492"/>
      <c r="F71" s="492">
        <v>1825000</v>
      </c>
      <c r="G71" s="492"/>
      <c r="H71" s="476">
        <f>F71*D71</f>
        <v>1825000</v>
      </c>
      <c r="I71" s="601">
        <f t="shared" si="13"/>
        <v>26704.711735440444</v>
      </c>
      <c r="J71" s="485"/>
      <c r="K71" s="486"/>
      <c r="L71" s="486"/>
      <c r="M71" s="486"/>
      <c r="N71" s="486"/>
      <c r="O71" s="486"/>
      <c r="P71" s="486"/>
      <c r="Q71" s="486"/>
      <c r="R71" s="486"/>
      <c r="S71" s="486"/>
      <c r="T71" s="486"/>
      <c r="U71" s="486"/>
      <c r="V71" s="486"/>
    </row>
    <row r="72" spans="1:22" s="83" customFormat="1" ht="17.25" customHeight="1">
      <c r="A72" s="81">
        <v>11</v>
      </c>
      <c r="B72" s="512" t="s">
        <v>383</v>
      </c>
      <c r="C72" s="490"/>
      <c r="D72" s="590">
        <v>1</v>
      </c>
      <c r="E72" s="492"/>
      <c r="F72" s="492">
        <v>2380000</v>
      </c>
      <c r="G72" s="492"/>
      <c r="H72" s="476">
        <f t="shared" si="12"/>
        <v>2380000</v>
      </c>
      <c r="I72" s="601">
        <f t="shared" si="13"/>
        <v>34825.870646766169</v>
      </c>
      <c r="J72" s="516"/>
      <c r="K72" s="486"/>
      <c r="L72" s="486"/>
      <c r="M72" s="486"/>
      <c r="N72" s="486"/>
      <c r="O72" s="486"/>
      <c r="P72" s="486"/>
      <c r="Q72" s="486"/>
      <c r="R72" s="486"/>
      <c r="S72" s="486"/>
      <c r="T72" s="486"/>
      <c r="U72" s="486"/>
      <c r="V72" s="486"/>
    </row>
    <row r="73" spans="1:22" s="83" customFormat="1" ht="30" customHeight="1">
      <c r="A73" s="81">
        <v>13</v>
      </c>
      <c r="B73" s="512" t="s">
        <v>384</v>
      </c>
      <c r="C73" s="490"/>
      <c r="D73" s="590">
        <v>1</v>
      </c>
      <c r="E73" s="492"/>
      <c r="F73" s="493">
        <v>150000</v>
      </c>
      <c r="G73" s="492"/>
      <c r="H73" s="476">
        <f t="shared" si="12"/>
        <v>150000</v>
      </c>
      <c r="I73" s="601">
        <f t="shared" si="13"/>
        <v>2194.9078138718173</v>
      </c>
      <c r="J73" s="485"/>
      <c r="K73" s="486"/>
      <c r="L73" s="486"/>
      <c r="M73" s="486"/>
      <c r="N73" s="486"/>
      <c r="O73" s="486"/>
      <c r="P73" s="486"/>
      <c r="Q73" s="486"/>
      <c r="R73" s="486"/>
      <c r="S73" s="486"/>
      <c r="T73" s="486"/>
      <c r="U73" s="486"/>
      <c r="V73" s="486"/>
    </row>
    <row r="74" spans="1:22" s="83" customFormat="1" ht="17.25" customHeight="1">
      <c r="A74" s="81">
        <v>14</v>
      </c>
      <c r="B74" s="509" t="s">
        <v>385</v>
      </c>
      <c r="C74" s="490"/>
      <c r="D74" s="590">
        <v>1</v>
      </c>
      <c r="E74" s="492"/>
      <c r="F74" s="492">
        <v>2972656.38</v>
      </c>
      <c r="G74" s="476"/>
      <c r="H74" s="476">
        <f>F74*D74</f>
        <v>2972656.38</v>
      </c>
      <c r="I74" s="601">
        <f>H74/68.34</f>
        <v>43498.044776119401</v>
      </c>
      <c r="J74" s="485"/>
      <c r="K74" s="486"/>
      <c r="L74" s="486"/>
      <c r="M74" s="486"/>
      <c r="N74" s="486"/>
      <c r="O74" s="486"/>
      <c r="P74" s="486"/>
      <c r="Q74" s="486"/>
      <c r="R74" s="486"/>
      <c r="S74" s="486"/>
      <c r="T74" s="486"/>
      <c r="U74" s="486"/>
      <c r="V74" s="486"/>
    </row>
    <row r="75" spans="1:22" s="83" customFormat="1" ht="24.75" customHeight="1">
      <c r="A75" s="867" t="s">
        <v>70</v>
      </c>
      <c r="B75" s="868"/>
      <c r="C75" s="517"/>
      <c r="D75" s="518"/>
      <c r="E75" s="403"/>
      <c r="F75" s="519"/>
      <c r="G75" s="519">
        <f t="shared" ref="G75" si="15">SUM(G62:G74)</f>
        <v>0</v>
      </c>
      <c r="H75" s="519">
        <f>SUM(H62:H74)</f>
        <v>11956944.210000001</v>
      </c>
      <c r="I75" s="608">
        <f>H75/68.34</f>
        <v>174962.60184372257</v>
      </c>
      <c r="J75" s="520"/>
      <c r="K75" s="486"/>
      <c r="L75" s="486"/>
      <c r="M75" s="486"/>
      <c r="N75" s="486"/>
      <c r="O75" s="486"/>
      <c r="P75" s="486"/>
      <c r="Q75" s="486"/>
      <c r="R75" s="486"/>
      <c r="S75" s="486"/>
      <c r="T75" s="486"/>
      <c r="U75" s="486"/>
      <c r="V75" s="486"/>
    </row>
    <row r="76" spans="1:22" s="83" customFormat="1" ht="24.75" customHeight="1">
      <c r="A76" s="865" t="s">
        <v>474</v>
      </c>
      <c r="B76" s="866"/>
      <c r="C76" s="521"/>
      <c r="D76" s="522"/>
      <c r="E76" s="523"/>
      <c r="F76" s="523"/>
      <c r="G76" s="524">
        <f>G75+G60+G48+G37+G28+G11</f>
        <v>193516.18071904761</v>
      </c>
      <c r="H76" s="524">
        <f>H75+H60+H48+H37+H28+H11</f>
        <v>136660799.99761906</v>
      </c>
      <c r="I76" s="609"/>
      <c r="J76" s="525"/>
      <c r="K76" s="486"/>
      <c r="L76" s="486"/>
      <c r="M76" s="486"/>
      <c r="N76" s="486"/>
      <c r="O76" s="486"/>
      <c r="P76" s="486"/>
      <c r="Q76" s="486"/>
      <c r="R76" s="486"/>
      <c r="S76" s="486"/>
      <c r="T76" s="486"/>
      <c r="U76" s="486"/>
      <c r="V76" s="486"/>
    </row>
    <row r="77" spans="1:22" ht="24" customHeight="1">
      <c r="A77" s="869" t="s">
        <v>537</v>
      </c>
      <c r="B77" s="870"/>
      <c r="C77" s="540"/>
      <c r="D77" s="540"/>
      <c r="E77" s="540"/>
      <c r="F77" s="541"/>
      <c r="G77" s="526"/>
      <c r="H77" s="526"/>
      <c r="I77" s="610">
        <f>SUM(I11+I37+I48+I75+I60+I28)</f>
        <v>1999719.0517649846</v>
      </c>
      <c r="J77" s="527"/>
    </row>
    <row r="78" spans="1:22" s="425" customFormat="1" ht="30.75" customHeight="1">
      <c r="A78" s="850" t="s">
        <v>546</v>
      </c>
      <c r="B78" s="850"/>
      <c r="C78" s="851" t="s">
        <v>547</v>
      </c>
      <c r="D78" s="851"/>
      <c r="E78" s="851" t="s">
        <v>467</v>
      </c>
      <c r="F78" s="851"/>
      <c r="G78" s="851" t="s">
        <v>548</v>
      </c>
      <c r="H78" s="851"/>
      <c r="I78" s="244" t="s">
        <v>562</v>
      </c>
      <c r="J78" s="420"/>
      <c r="K78" s="586"/>
      <c r="L78" s="586"/>
      <c r="M78" s="421"/>
      <c r="N78" s="586" t="s">
        <v>553</v>
      </c>
      <c r="O78" s="586"/>
      <c r="P78" s="423"/>
      <c r="Q78" s="424"/>
    </row>
    <row r="79" spans="1:22" s="425" customFormat="1" ht="18.75">
      <c r="A79" s="829" t="s">
        <v>465</v>
      </c>
      <c r="B79" s="829"/>
      <c r="C79" s="830" t="s">
        <v>466</v>
      </c>
      <c r="D79" s="830"/>
      <c r="E79" s="831" t="s">
        <v>468</v>
      </c>
      <c r="F79" s="831"/>
      <c r="G79" s="775" t="s">
        <v>549</v>
      </c>
      <c r="H79" s="775"/>
      <c r="I79" s="244" t="s">
        <v>551</v>
      </c>
      <c r="J79" s="420"/>
      <c r="K79" s="244"/>
      <c r="L79" s="244"/>
      <c r="M79" s="421"/>
      <c r="N79" s="244" t="s">
        <v>551</v>
      </c>
      <c r="O79" s="244"/>
      <c r="P79" s="271"/>
      <c r="Q79" s="424"/>
    </row>
    <row r="80" spans="1:22" s="425" customFormat="1" ht="40.5" customHeight="1">
      <c r="A80" s="832" t="s">
        <v>556</v>
      </c>
      <c r="B80" s="832"/>
      <c r="C80" s="825" t="s">
        <v>476</v>
      </c>
      <c r="D80" s="825"/>
      <c r="E80" s="826" t="s">
        <v>469</v>
      </c>
      <c r="F80" s="826"/>
      <c r="G80" s="825" t="s">
        <v>550</v>
      </c>
      <c r="H80" s="825"/>
      <c r="I80" s="271" t="s">
        <v>563</v>
      </c>
      <c r="J80" s="455"/>
      <c r="K80" s="581"/>
      <c r="L80" s="581"/>
      <c r="M80" s="421"/>
      <c r="N80" s="271" t="s">
        <v>552</v>
      </c>
      <c r="O80" s="271"/>
      <c r="P80" s="271"/>
      <c r="Q80" s="271"/>
    </row>
    <row r="81" spans="1:22" s="433" customFormat="1" ht="18.75">
      <c r="A81" s="578"/>
      <c r="B81" s="454"/>
      <c r="C81" s="579"/>
      <c r="D81" s="580"/>
      <c r="E81" s="826" t="s">
        <v>470</v>
      </c>
      <c r="F81" s="826"/>
      <c r="G81" s="271"/>
      <c r="H81" s="271"/>
      <c r="I81" s="271"/>
      <c r="J81" s="588" t="s">
        <v>472</v>
      </c>
      <c r="K81" s="582"/>
      <c r="L81" s="271"/>
      <c r="M81" s="583"/>
      <c r="N81" s="271" t="s">
        <v>472</v>
      </c>
      <c r="O81" s="271"/>
      <c r="P81" s="271"/>
      <c r="Q81" s="584"/>
    </row>
    <row r="82" spans="1:22" s="433" customFormat="1" ht="18.75">
      <c r="A82" s="579"/>
      <c r="B82" s="579"/>
      <c r="C82" s="579"/>
      <c r="D82" s="579"/>
      <c r="E82" s="826" t="s">
        <v>471</v>
      </c>
      <c r="F82" s="826"/>
      <c r="G82" s="271"/>
      <c r="H82" s="271"/>
      <c r="I82" s="271"/>
      <c r="J82" s="588" t="s">
        <v>564</v>
      </c>
      <c r="K82" s="325"/>
      <c r="L82" s="453"/>
      <c r="M82" s="430"/>
      <c r="N82" s="271" t="s">
        <v>554</v>
      </c>
      <c r="O82" s="271"/>
      <c r="P82" s="271"/>
      <c r="Q82" s="271"/>
    </row>
    <row r="83" spans="1:22" s="264" customFormat="1" ht="18.75">
      <c r="A83" s="579"/>
      <c r="B83" s="579"/>
      <c r="C83" s="579"/>
      <c r="D83" s="579"/>
      <c r="E83" s="579"/>
      <c r="F83" s="579"/>
      <c r="G83" s="579"/>
      <c r="H83" s="579"/>
      <c r="I83" s="611"/>
      <c r="J83" s="587" t="s">
        <v>555</v>
      </c>
      <c r="N83" s="270" t="s">
        <v>555</v>
      </c>
      <c r="O83" s="270"/>
      <c r="P83" s="270"/>
      <c r="Q83" s="270"/>
    </row>
    <row r="84" spans="1:22" s="425" customFormat="1" ht="29.25" customHeight="1">
      <c r="A84" s="579"/>
      <c r="B84" s="579"/>
      <c r="C84" s="579"/>
      <c r="D84" s="579"/>
      <c r="E84" s="579"/>
      <c r="F84" s="579"/>
      <c r="G84" s="579"/>
      <c r="H84" s="579"/>
      <c r="I84" s="611"/>
      <c r="J84" s="587"/>
      <c r="K84" s="244"/>
      <c r="L84" s="176"/>
      <c r="M84" s="421"/>
      <c r="N84" s="422"/>
      <c r="O84" s="422"/>
      <c r="P84" s="423"/>
      <c r="Q84" s="424"/>
    </row>
    <row r="85" spans="1:22" s="425" customFormat="1" ht="40.5" customHeight="1">
      <c r="A85" s="417"/>
      <c r="B85" s="832"/>
      <c r="C85" s="832"/>
      <c r="D85" s="543"/>
      <c r="E85" s="269"/>
      <c r="F85" s="269"/>
      <c r="G85" s="826"/>
      <c r="H85" s="826"/>
      <c r="I85" s="270"/>
      <c r="J85" s="434"/>
      <c r="K85" s="434"/>
      <c r="L85" s="270"/>
      <c r="M85" s="421"/>
      <c r="N85" s="428"/>
      <c r="O85" s="421"/>
      <c r="P85" s="422"/>
      <c r="Q85" s="429"/>
    </row>
    <row r="86" spans="1:22" s="425" customFormat="1" ht="51.75" customHeight="1">
      <c r="A86" s="864"/>
      <c r="B86" s="864"/>
      <c r="C86" s="415"/>
      <c r="D86" s="415"/>
      <c r="E86" s="384"/>
      <c r="F86" s="270"/>
      <c r="G86" s="852"/>
      <c r="H86" s="852"/>
      <c r="I86" s="270"/>
      <c r="J86" s="852"/>
      <c r="K86" s="852"/>
      <c r="L86" s="270"/>
      <c r="M86" s="456"/>
      <c r="N86" s="849"/>
      <c r="O86" s="849"/>
      <c r="P86" s="849"/>
      <c r="Q86" s="429"/>
    </row>
    <row r="87" spans="1:22" s="425" customFormat="1" ht="22.5" customHeight="1">
      <c r="A87" s="448"/>
      <c r="B87" s="553"/>
      <c r="C87" s="775"/>
      <c r="D87" s="775"/>
      <c r="E87" s="269"/>
      <c r="F87" s="444"/>
      <c r="G87" s="826"/>
      <c r="H87" s="826"/>
      <c r="I87" s="270"/>
      <c r="J87" s="434"/>
      <c r="K87" s="434"/>
      <c r="L87" s="270"/>
      <c r="M87" s="456"/>
      <c r="N87" s="384"/>
      <c r="O87" s="384"/>
      <c r="P87" s="384"/>
      <c r="Q87" s="429"/>
    </row>
    <row r="88" spans="1:22" s="433" customFormat="1" ht="31.5" customHeight="1">
      <c r="A88" s="270"/>
      <c r="B88" s="443"/>
      <c r="C88" s="775"/>
      <c r="D88" s="775"/>
      <c r="E88" s="271"/>
      <c r="F88" s="826"/>
      <c r="G88" s="826"/>
      <c r="H88" s="271"/>
      <c r="I88" s="271"/>
      <c r="J88" s="826"/>
      <c r="K88" s="826"/>
      <c r="L88" s="445"/>
      <c r="M88" s="430"/>
      <c r="N88" s="430"/>
      <c r="O88" s="445"/>
      <c r="P88" s="431"/>
      <c r="Q88" s="432"/>
    </row>
    <row r="89" spans="1:22" s="110" customFormat="1" ht="29.25" customHeight="1">
      <c r="A89" s="446"/>
      <c r="B89" s="446"/>
      <c r="C89" s="446"/>
      <c r="D89" s="419"/>
      <c r="E89" s="68"/>
      <c r="F89" s="176"/>
      <c r="G89" s="132"/>
      <c r="H89" s="68"/>
      <c r="I89" s="244"/>
      <c r="J89" s="248"/>
      <c r="K89" s="68"/>
      <c r="L89" s="87"/>
      <c r="M89" s="86"/>
      <c r="N89" s="86"/>
      <c r="O89" s="73"/>
    </row>
    <row r="90" spans="1:22" s="244" customFormat="1" ht="26.25" customHeight="1">
      <c r="A90" s="721"/>
      <c r="B90" s="721"/>
      <c r="C90" s="721"/>
      <c r="D90" s="528"/>
      <c r="E90" s="528"/>
      <c r="F90" s="528"/>
      <c r="G90" s="528"/>
      <c r="H90" s="528"/>
      <c r="I90" s="612"/>
      <c r="J90" s="530"/>
      <c r="K90" s="529"/>
      <c r="L90" s="528"/>
      <c r="M90" s="529"/>
      <c r="N90" s="529"/>
      <c r="O90" s="529"/>
      <c r="P90" s="529"/>
      <c r="Q90" s="529"/>
      <c r="R90" s="529"/>
      <c r="S90" s="529"/>
      <c r="T90" s="529"/>
      <c r="U90" s="529"/>
      <c r="V90" s="529"/>
    </row>
    <row r="91" spans="1:22" s="270" customFormat="1" ht="42" customHeight="1">
      <c r="A91" s="267"/>
      <c r="B91" s="531"/>
      <c r="C91" s="532"/>
      <c r="D91" s="533"/>
      <c r="E91" s="532"/>
      <c r="F91" s="532"/>
      <c r="G91" s="462"/>
      <c r="H91" s="534"/>
      <c r="I91" s="241"/>
      <c r="J91" s="534"/>
      <c r="K91" s="534"/>
      <c r="L91" s="462"/>
      <c r="M91" s="462"/>
      <c r="N91" s="462"/>
      <c r="O91" s="462"/>
      <c r="P91" s="462"/>
      <c r="Q91" s="462"/>
      <c r="R91" s="462"/>
      <c r="S91" s="462"/>
      <c r="T91" s="462"/>
      <c r="U91" s="462"/>
      <c r="V91" s="462"/>
    </row>
    <row r="92" spans="1:22" s="271" customFormat="1" ht="35.25" customHeight="1">
      <c r="B92" s="535"/>
      <c r="C92" s="463"/>
      <c r="D92" s="463"/>
      <c r="E92" s="463"/>
      <c r="F92" s="463"/>
      <c r="G92" s="463"/>
      <c r="H92" s="463"/>
      <c r="I92" s="613"/>
      <c r="J92" s="463"/>
      <c r="K92" s="463"/>
      <c r="L92" s="463"/>
      <c r="M92" s="463"/>
      <c r="N92" s="463"/>
      <c r="O92" s="463"/>
      <c r="P92" s="463"/>
      <c r="Q92" s="463"/>
      <c r="R92" s="463"/>
      <c r="S92" s="463"/>
      <c r="T92" s="463"/>
      <c r="U92" s="463"/>
      <c r="V92" s="463"/>
    </row>
    <row r="94" spans="1:22">
      <c r="G94" s="536">
        <f>2000000*68.34</f>
        <v>136680000</v>
      </c>
      <c r="H94" s="537">
        <f>2000000-I77</f>
        <v>280.94823501538485</v>
      </c>
    </row>
    <row r="96" spans="1:22">
      <c r="E96" s="536">
        <v>6826000</v>
      </c>
      <c r="G96" s="538">
        <f>G94-H76</f>
        <v>19200.002380937338</v>
      </c>
    </row>
    <row r="97" spans="5:5">
      <c r="E97" s="536">
        <f>E96-G96</f>
        <v>6806799.9976190627</v>
      </c>
    </row>
  </sheetData>
  <mergeCells count="41">
    <mergeCell ref="A49:B49"/>
    <mergeCell ref="A60:B60"/>
    <mergeCell ref="A76:B76"/>
    <mergeCell ref="E78:F78"/>
    <mergeCell ref="E79:F79"/>
    <mergeCell ref="A75:B75"/>
    <mergeCell ref="A61:B61"/>
    <mergeCell ref="A77:B77"/>
    <mergeCell ref="A79:B79"/>
    <mergeCell ref="C78:D78"/>
    <mergeCell ref="C79:D79"/>
    <mergeCell ref="G80:H80"/>
    <mergeCell ref="G78:H78"/>
    <mergeCell ref="G79:H79"/>
    <mergeCell ref="E80:F80"/>
    <mergeCell ref="A90:C90"/>
    <mergeCell ref="A78:B78"/>
    <mergeCell ref="G85:H85"/>
    <mergeCell ref="A86:B86"/>
    <mergeCell ref="B85:C85"/>
    <mergeCell ref="E81:F81"/>
    <mergeCell ref="E82:F82"/>
    <mergeCell ref="A80:B80"/>
    <mergeCell ref="C80:D80"/>
    <mergeCell ref="A29:B29"/>
    <mergeCell ref="A37:B37"/>
    <mergeCell ref="A48:B48"/>
    <mergeCell ref="A38:B38"/>
    <mergeCell ref="A1:J1"/>
    <mergeCell ref="A12:B12"/>
    <mergeCell ref="A3:B3"/>
    <mergeCell ref="A11:B11"/>
    <mergeCell ref="A28:B28"/>
    <mergeCell ref="N86:P86"/>
    <mergeCell ref="F88:G88"/>
    <mergeCell ref="J88:K88"/>
    <mergeCell ref="C87:D87"/>
    <mergeCell ref="C88:D88"/>
    <mergeCell ref="G86:H86"/>
    <mergeCell ref="G87:H87"/>
    <mergeCell ref="J86:K86"/>
  </mergeCells>
  <printOptions horizontalCentered="1"/>
  <pageMargins left="0.25" right="0.25" top="0.56999999999999995" bottom="0.28000000000000003" header="0.38" footer="0.23"/>
  <pageSetup scale="58" orientation="landscape" r:id="rId1"/>
  <headerFooter>
    <oddFooter>&amp;C1</oddFooter>
  </headerFooter>
  <rowBreaks count="1" manualBreakCount="1">
    <brk id="43" max="9" man="1"/>
  </rowBreaks>
  <ignoredErrors>
    <ignoredError sqref="D11" formulaRange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91"/>
  <sheetViews>
    <sheetView showGridLines="0" view="pageBreakPreview" topLeftCell="C1" zoomScale="60" zoomScaleNormal="40" zoomScalePageLayoutView="55" workbookViewId="0">
      <pane ySplit="2" topLeftCell="A3" activePane="bottomLeft" state="frozen"/>
      <selection pane="bottomLeft" activeCell="M4" sqref="M4"/>
    </sheetView>
  </sheetViews>
  <sheetFormatPr defaultColWidth="9.125" defaultRowHeight="15.75"/>
  <cols>
    <col min="1" max="1" width="14.375" style="450" customWidth="1"/>
    <col min="2" max="2" width="11" style="450" customWidth="1"/>
    <col min="3" max="3" width="20.625" style="450" customWidth="1"/>
    <col min="4" max="4" width="63.5" style="451" customWidth="1"/>
    <col min="5" max="5" width="11.625" style="74" customWidth="1"/>
    <col min="6" max="6" width="16.25" style="73" customWidth="1"/>
    <col min="7" max="7" width="17.125" style="73" customWidth="1"/>
    <col min="8" max="8" width="19.375" style="82" customWidth="1"/>
    <col min="9" max="9" width="13.625" style="83" customWidth="1"/>
    <col min="10" max="10" width="13.125" style="83" customWidth="1"/>
    <col min="11" max="11" width="22.375" style="83" customWidth="1"/>
    <col min="12" max="12" width="12.375" style="83" customWidth="1"/>
    <col min="13" max="13" width="13.875" style="83" customWidth="1"/>
    <col min="14" max="14" width="18" style="106" customWidth="1"/>
    <col min="15" max="15" width="17.25" style="73" customWidth="1"/>
    <col min="16" max="16384" width="9.125" style="74"/>
  </cols>
  <sheetData>
    <row r="1" spans="1:15" ht="45" customHeight="1">
      <c r="A1" s="871" t="s">
        <v>477</v>
      </c>
      <c r="B1" s="871"/>
      <c r="C1" s="871"/>
      <c r="D1" s="871"/>
      <c r="E1" s="871"/>
      <c r="F1" s="871"/>
      <c r="G1" s="871"/>
      <c r="H1" s="871"/>
      <c r="I1" s="872"/>
      <c r="J1" s="872"/>
      <c r="K1" s="872"/>
      <c r="L1" s="872"/>
      <c r="M1" s="872"/>
      <c r="N1" s="872"/>
      <c r="O1" s="871"/>
    </row>
    <row r="2" spans="1:15" ht="37.5" customHeight="1">
      <c r="A2" s="618" t="s">
        <v>492</v>
      </c>
      <c r="B2" s="619" t="s">
        <v>478</v>
      </c>
      <c r="C2" s="619" t="s">
        <v>479</v>
      </c>
      <c r="D2" s="620" t="s">
        <v>480</v>
      </c>
      <c r="E2" s="621" t="s">
        <v>392</v>
      </c>
      <c r="F2" s="622" t="s">
        <v>481</v>
      </c>
      <c r="G2" s="622" t="s">
        <v>482</v>
      </c>
      <c r="H2" s="622" t="s">
        <v>483</v>
      </c>
      <c r="I2" s="623" t="s">
        <v>484</v>
      </c>
      <c r="J2" s="623" t="s">
        <v>485</v>
      </c>
      <c r="K2" s="624" t="s">
        <v>486</v>
      </c>
      <c r="L2" s="874" t="s">
        <v>487</v>
      </c>
      <c r="M2" s="874"/>
      <c r="N2" s="625" t="s">
        <v>488</v>
      </c>
      <c r="O2" s="626" t="s">
        <v>69</v>
      </c>
    </row>
    <row r="3" spans="1:15" ht="36" customHeight="1">
      <c r="A3" s="873" t="s">
        <v>509</v>
      </c>
      <c r="B3" s="873"/>
      <c r="C3" s="873"/>
      <c r="D3" s="873"/>
      <c r="E3" s="627"/>
      <c r="F3" s="628"/>
      <c r="G3" s="629" t="s">
        <v>570</v>
      </c>
      <c r="H3" s="628"/>
      <c r="I3" s="628"/>
      <c r="J3" s="628"/>
      <c r="K3" s="628"/>
      <c r="L3" s="628" t="s">
        <v>71</v>
      </c>
      <c r="M3" s="628" t="s">
        <v>508</v>
      </c>
      <c r="N3" s="629"/>
      <c r="O3" s="628"/>
    </row>
    <row r="4" spans="1:15" s="76" customFormat="1" ht="18.75">
      <c r="A4" s="615" t="s">
        <v>489</v>
      </c>
      <c r="B4" s="615" t="s">
        <v>491</v>
      </c>
      <c r="C4" s="630" t="s">
        <v>499</v>
      </c>
      <c r="D4" s="614" t="str">
        <f>'Financial Plan 1397'!B4</f>
        <v xml:space="preserve">payment of 20% of Qasaba irregation network </v>
      </c>
      <c r="E4" s="615" t="str">
        <f>'Financial Plan 1397'!C4</f>
        <v>Ha</v>
      </c>
      <c r="F4" s="631">
        <f>'Financial Plan 1397'!D4</f>
        <v>17</v>
      </c>
      <c r="G4" s="632">
        <f>'Financial Plan 1397'!F4</f>
        <v>141536.76470588235</v>
      </c>
      <c r="H4" s="633">
        <f>'Financial Plan 1397'!H4</f>
        <v>2406125</v>
      </c>
      <c r="I4" s="634">
        <v>43200</v>
      </c>
      <c r="J4" s="634">
        <v>43351</v>
      </c>
      <c r="K4" s="635" t="s">
        <v>507</v>
      </c>
      <c r="L4" s="636">
        <v>0</v>
      </c>
      <c r="M4" s="637">
        <f>'Financial Plan 1397'!G4</f>
        <v>2040</v>
      </c>
      <c r="N4" s="638">
        <f>M4*7</f>
        <v>14280</v>
      </c>
      <c r="O4" s="639"/>
    </row>
    <row r="5" spans="1:15" s="76" customFormat="1" ht="40.5" customHeight="1">
      <c r="A5" s="615" t="s">
        <v>489</v>
      </c>
      <c r="B5" s="615" t="s">
        <v>491</v>
      </c>
      <c r="C5" s="630" t="s">
        <v>493</v>
      </c>
      <c r="D5" s="458" t="str">
        <f>'Financial Plan 1397'!B5</f>
        <v xml:space="preserve">Payment of 70% of Shirdarwaza to Benihesar irregation network </v>
      </c>
      <c r="E5" s="615" t="str">
        <f>'Financial Plan 1397'!C5</f>
        <v>Ha</v>
      </c>
      <c r="F5" s="631">
        <f>'Financial Plan 1397'!D5</f>
        <v>175</v>
      </c>
      <c r="G5" s="632">
        <f>'Financial Plan 1397'!F5</f>
        <v>104846.56571428571</v>
      </c>
      <c r="H5" s="633">
        <f>'Financial Plan 1397'!H5</f>
        <v>18348149</v>
      </c>
      <c r="I5" s="634">
        <v>43200</v>
      </c>
      <c r="J5" s="634">
        <v>43351</v>
      </c>
      <c r="K5" s="635" t="s">
        <v>507</v>
      </c>
      <c r="L5" s="636">
        <v>3</v>
      </c>
      <c r="M5" s="637">
        <f>'Financial Plan 1397'!G5</f>
        <v>21000</v>
      </c>
      <c r="N5" s="638">
        <f t="shared" ref="N5:N10" si="0">M5*7</f>
        <v>147000</v>
      </c>
      <c r="O5" s="639"/>
    </row>
    <row r="6" spans="1:15" s="76" customFormat="1" ht="41.25" customHeight="1">
      <c r="A6" s="615" t="s">
        <v>489</v>
      </c>
      <c r="B6" s="615" t="s">
        <v>491</v>
      </c>
      <c r="C6" s="630" t="s">
        <v>494</v>
      </c>
      <c r="D6" s="458" t="str">
        <f>'Financial Plan 1397'!B6</f>
        <v>establishment of new irregation network in surrounding of Munishi Mirghulam mountain</v>
      </c>
      <c r="E6" s="615" t="str">
        <f>'Financial Plan 1397'!C6</f>
        <v>Ha</v>
      </c>
      <c r="F6" s="631">
        <f>'Financial Plan 1397'!D6</f>
        <v>180</v>
      </c>
      <c r="G6" s="632">
        <f>'Financial Plan 1397'!F6</f>
        <v>100000</v>
      </c>
      <c r="H6" s="633">
        <f>'Financial Plan 1397'!H6</f>
        <v>18000000</v>
      </c>
      <c r="I6" s="634">
        <v>43200</v>
      </c>
      <c r="J6" s="634">
        <v>43351</v>
      </c>
      <c r="K6" s="635" t="s">
        <v>507</v>
      </c>
      <c r="L6" s="636">
        <v>5</v>
      </c>
      <c r="M6" s="637">
        <f>'Financial Plan 1397'!G6</f>
        <v>21600</v>
      </c>
      <c r="N6" s="638">
        <f t="shared" si="0"/>
        <v>151200</v>
      </c>
      <c r="O6" s="639"/>
    </row>
    <row r="7" spans="1:15" s="76" customFormat="1" ht="34.5" customHeight="1">
      <c r="A7" s="615" t="s">
        <v>489</v>
      </c>
      <c r="B7" s="615" t="s">
        <v>491</v>
      </c>
      <c r="C7" s="630" t="s">
        <v>495</v>
      </c>
      <c r="D7" s="458" t="str">
        <f>'Financial Plan 1397'!B7</f>
        <v>establishment of new irregation network in Tangi Gharow</v>
      </c>
      <c r="E7" s="615" t="str">
        <f>'Financial Plan 1397'!C7</f>
        <v>Ha</v>
      </c>
      <c r="F7" s="631">
        <f>'Financial Plan 1397'!D7</f>
        <v>150</v>
      </c>
      <c r="G7" s="632">
        <f>'Financial Plan 1397'!F7</f>
        <v>84402.45</v>
      </c>
      <c r="H7" s="633">
        <f>'Financial Plan 1397'!H7</f>
        <v>12660367.5</v>
      </c>
      <c r="I7" s="634">
        <v>43200</v>
      </c>
      <c r="J7" s="634">
        <v>43351</v>
      </c>
      <c r="K7" s="635" t="s">
        <v>507</v>
      </c>
      <c r="L7" s="636">
        <v>5</v>
      </c>
      <c r="M7" s="637">
        <f>'Financial Plan 1397'!G7</f>
        <v>18000</v>
      </c>
      <c r="N7" s="638">
        <f t="shared" si="0"/>
        <v>126000</v>
      </c>
      <c r="O7" s="639"/>
    </row>
    <row r="8" spans="1:15" s="76" customFormat="1" ht="18.75">
      <c r="A8" s="615" t="s">
        <v>489</v>
      </c>
      <c r="B8" s="615" t="s">
        <v>491</v>
      </c>
      <c r="C8" s="630" t="s">
        <v>496</v>
      </c>
      <c r="D8" s="458" t="str">
        <f>'Financial Plan 1397'!B8</f>
        <v xml:space="preserve">payment of 20% of Badam Bagh irregation network </v>
      </c>
      <c r="E8" s="615" t="str">
        <f>'Financial Plan 1397'!C8</f>
        <v>Ha</v>
      </c>
      <c r="F8" s="631">
        <f>'Financial Plan 1397'!D8</f>
        <v>33</v>
      </c>
      <c r="G8" s="632">
        <f>'Financial Plan 1397'!F8</f>
        <v>90217.090909090912</v>
      </c>
      <c r="H8" s="633">
        <f>'Financial Plan 1397'!H8</f>
        <v>2977164</v>
      </c>
      <c r="I8" s="634">
        <v>43200</v>
      </c>
      <c r="J8" s="634">
        <v>43351</v>
      </c>
      <c r="K8" s="635" t="s">
        <v>507</v>
      </c>
      <c r="L8" s="636">
        <v>1</v>
      </c>
      <c r="M8" s="637">
        <f>'Financial Plan 1397'!G8</f>
        <v>3960</v>
      </c>
      <c r="N8" s="638">
        <f t="shared" si="0"/>
        <v>27720</v>
      </c>
      <c r="O8" s="639"/>
    </row>
    <row r="9" spans="1:15" s="76" customFormat="1" ht="45" customHeight="1">
      <c r="A9" s="615" t="s">
        <v>489</v>
      </c>
      <c r="B9" s="615" t="s">
        <v>491</v>
      </c>
      <c r="C9" s="630" t="s">
        <v>497</v>
      </c>
      <c r="D9" s="458" t="str">
        <f>'Financial Plan 1397'!B9</f>
        <v>payment o 15 of irregation network of Asamee Mountain ( Peace light)</v>
      </c>
      <c r="E9" s="615" t="str">
        <f>'Financial Plan 1397'!C9</f>
        <v>extra work</v>
      </c>
      <c r="F9" s="631">
        <f>'Financial Plan 1397'!D9</f>
        <v>1</v>
      </c>
      <c r="G9" s="632">
        <f>'Financial Plan 1397'!F9</f>
        <v>1005430</v>
      </c>
      <c r="H9" s="633">
        <f>'Financial Plan 1397'!H9</f>
        <v>1005430</v>
      </c>
      <c r="I9" s="634">
        <v>43200</v>
      </c>
      <c r="J9" s="634">
        <v>43351</v>
      </c>
      <c r="K9" s="635" t="s">
        <v>507</v>
      </c>
      <c r="L9" s="636">
        <v>0</v>
      </c>
      <c r="M9" s="637">
        <f>'Financial Plan 1397'!G9</f>
        <v>110</v>
      </c>
      <c r="N9" s="638">
        <f t="shared" si="0"/>
        <v>770</v>
      </c>
      <c r="O9" s="639"/>
    </row>
    <row r="10" spans="1:15" s="76" customFormat="1" ht="41.25" customHeight="1">
      <c r="A10" s="615" t="s">
        <v>489</v>
      </c>
      <c r="B10" s="615" t="s">
        <v>491</v>
      </c>
      <c r="C10" s="630" t="s">
        <v>494</v>
      </c>
      <c r="D10" s="458" t="str">
        <f>'Financial Plan 1397'!B10</f>
        <v>construction of electricy system with all its equipment in new areas</v>
      </c>
      <c r="E10" s="615" t="str">
        <f>'Financial Plan 1397'!C10</f>
        <v>equip</v>
      </c>
      <c r="F10" s="631">
        <f>'Financial Plan 1397'!D10</f>
        <v>2</v>
      </c>
      <c r="G10" s="632">
        <f>'Financial Plan 1397'!F10</f>
        <v>2400000</v>
      </c>
      <c r="H10" s="633">
        <f>'Financial Plan 1397'!H10</f>
        <v>4800000</v>
      </c>
      <c r="I10" s="634">
        <v>43200</v>
      </c>
      <c r="J10" s="634">
        <v>43351</v>
      </c>
      <c r="K10" s="635" t="s">
        <v>507</v>
      </c>
      <c r="L10" s="636">
        <v>3</v>
      </c>
      <c r="M10" s="637">
        <f>'Financial Plan 1397'!G10</f>
        <v>250</v>
      </c>
      <c r="N10" s="638">
        <f t="shared" si="0"/>
        <v>1750</v>
      </c>
      <c r="O10" s="639"/>
    </row>
    <row r="11" spans="1:15" s="78" customFormat="1" ht="29.25" customHeight="1">
      <c r="A11" s="875" t="s">
        <v>510</v>
      </c>
      <c r="B11" s="875"/>
      <c r="C11" s="875"/>
      <c r="D11" s="875"/>
      <c r="E11" s="640"/>
      <c r="F11" s="641"/>
      <c r="G11" s="641"/>
      <c r="H11" s="641">
        <f>SUM(H4:H10)</f>
        <v>60197235.5</v>
      </c>
      <c r="I11" s="641"/>
      <c r="J11" s="641"/>
      <c r="K11" s="641">
        <f t="shared" ref="K11:O11" si="1">SUM(K4:K4)</f>
        <v>0</v>
      </c>
      <c r="L11" s="642">
        <f>SUM(L4:L10)</f>
        <v>17</v>
      </c>
      <c r="M11" s="641">
        <f>SUM(M4:M10)</f>
        <v>66960</v>
      </c>
      <c r="N11" s="643">
        <f>SUM(N4:N10)</f>
        <v>468720</v>
      </c>
      <c r="O11" s="641">
        <f t="shared" si="1"/>
        <v>0</v>
      </c>
    </row>
    <row r="12" spans="1:15" s="110" customFormat="1" ht="39" customHeight="1">
      <c r="A12" s="618" t="s">
        <v>492</v>
      </c>
      <c r="B12" s="619" t="s">
        <v>478</v>
      </c>
      <c r="C12" s="619" t="s">
        <v>479</v>
      </c>
      <c r="D12" s="620" t="s">
        <v>480</v>
      </c>
      <c r="E12" s="621" t="s">
        <v>392</v>
      </c>
      <c r="F12" s="622" t="s">
        <v>481</v>
      </c>
      <c r="G12" s="622" t="s">
        <v>482</v>
      </c>
      <c r="H12" s="622" t="s">
        <v>514</v>
      </c>
      <c r="I12" s="623" t="s">
        <v>484</v>
      </c>
      <c r="J12" s="623" t="s">
        <v>485</v>
      </c>
      <c r="K12" s="624" t="s">
        <v>486</v>
      </c>
      <c r="L12" s="874" t="s">
        <v>487</v>
      </c>
      <c r="M12" s="874"/>
      <c r="N12" s="625" t="s">
        <v>488</v>
      </c>
      <c r="O12" s="626" t="s">
        <v>69</v>
      </c>
    </row>
    <row r="13" spans="1:15" ht="37.5" customHeight="1">
      <c r="A13" s="873" t="s">
        <v>512</v>
      </c>
      <c r="B13" s="873"/>
      <c r="C13" s="873"/>
      <c r="D13" s="873"/>
      <c r="E13" s="644"/>
      <c r="F13" s="645" t="s">
        <v>511</v>
      </c>
      <c r="G13" s="645" t="s">
        <v>177</v>
      </c>
      <c r="H13" s="645"/>
      <c r="I13" s="646"/>
      <c r="J13" s="646"/>
      <c r="K13" s="646"/>
      <c r="L13" s="645" t="s">
        <v>71</v>
      </c>
      <c r="M13" s="628" t="s">
        <v>508</v>
      </c>
      <c r="N13" s="629"/>
      <c r="O13" s="628"/>
    </row>
    <row r="14" spans="1:15" s="118" customFormat="1" ht="19.5" customHeight="1">
      <c r="A14" s="877" t="s">
        <v>489</v>
      </c>
      <c r="B14" s="877" t="s">
        <v>491</v>
      </c>
      <c r="C14" s="876" t="s">
        <v>498</v>
      </c>
      <c r="D14" s="647" t="str">
        <f>'Financial Plan 1397'!B13</f>
        <v xml:space="preserve">Project Coordinator </v>
      </c>
      <c r="E14" s="648" t="str">
        <f>'Financial Plan 1397'!C13</f>
        <v>month</v>
      </c>
      <c r="F14" s="649">
        <f>'Financial Plan 1397'!E13</f>
        <v>1</v>
      </c>
      <c r="G14" s="650">
        <f>'Financial Plan 1397'!F13</f>
        <v>142222</v>
      </c>
      <c r="H14" s="651">
        <f>'Financial Plan 1397'!H13</f>
        <v>1422220</v>
      </c>
      <c r="I14" s="652">
        <v>43101</v>
      </c>
      <c r="J14" s="652">
        <v>43465</v>
      </c>
      <c r="K14" s="653" t="s">
        <v>513</v>
      </c>
      <c r="L14" s="654">
        <v>11</v>
      </c>
      <c r="M14" s="655">
        <f t="shared" ref="M14:M28" si="2">L14*22*F14</f>
        <v>242</v>
      </c>
      <c r="N14" s="656">
        <f>M14*7</f>
        <v>1694</v>
      </c>
      <c r="O14" s="657"/>
    </row>
    <row r="15" spans="1:15" s="118" customFormat="1" ht="19.5" customHeight="1">
      <c r="A15" s="877"/>
      <c r="B15" s="877"/>
      <c r="C15" s="876"/>
      <c r="D15" s="647" t="str">
        <f>'Financial Plan 1397'!B14</f>
        <v xml:space="preserve">M&amp;E Officer </v>
      </c>
      <c r="E15" s="648" t="str">
        <f>'Financial Plan 1397'!C14</f>
        <v>month</v>
      </c>
      <c r="F15" s="649">
        <f>'Financial Plan 1397'!E14</f>
        <v>1</v>
      </c>
      <c r="G15" s="650">
        <f>'Financial Plan 1397'!F14</f>
        <v>66333</v>
      </c>
      <c r="H15" s="651">
        <f>'Financial Plan 1397'!H14</f>
        <v>795996</v>
      </c>
      <c r="I15" s="652">
        <v>43101</v>
      </c>
      <c r="J15" s="652">
        <v>43465</v>
      </c>
      <c r="K15" s="653" t="s">
        <v>513</v>
      </c>
      <c r="L15" s="654">
        <v>12</v>
      </c>
      <c r="M15" s="655">
        <f t="shared" si="2"/>
        <v>264</v>
      </c>
      <c r="N15" s="656">
        <f t="shared" ref="N15:N28" si="3">M15*7</f>
        <v>1848</v>
      </c>
      <c r="O15" s="657"/>
    </row>
    <row r="16" spans="1:15" s="118" customFormat="1" ht="19.5" customHeight="1">
      <c r="A16" s="877"/>
      <c r="B16" s="877"/>
      <c r="C16" s="876"/>
      <c r="D16" s="647" t="str">
        <f>'Financial Plan 1397'!B15</f>
        <v>Water Resource Management Specialist</v>
      </c>
      <c r="E16" s="648" t="str">
        <f>'Financial Plan 1397'!C15</f>
        <v>month</v>
      </c>
      <c r="F16" s="649">
        <f>'Financial Plan 1397'!E15</f>
        <v>1</v>
      </c>
      <c r="G16" s="650">
        <f>'Financial Plan 1397'!F15</f>
        <v>104444</v>
      </c>
      <c r="H16" s="651">
        <f>'Financial Plan 1397'!H15</f>
        <v>1044440</v>
      </c>
      <c r="I16" s="652">
        <v>43101</v>
      </c>
      <c r="J16" s="652">
        <v>43465</v>
      </c>
      <c r="K16" s="653" t="s">
        <v>513</v>
      </c>
      <c r="L16" s="654">
        <v>11</v>
      </c>
      <c r="M16" s="655">
        <f t="shared" si="2"/>
        <v>242</v>
      </c>
      <c r="N16" s="656">
        <f t="shared" si="3"/>
        <v>1694</v>
      </c>
      <c r="O16" s="657"/>
    </row>
    <row r="17" spans="1:15" s="118" customFormat="1" ht="19.5" customHeight="1">
      <c r="A17" s="877"/>
      <c r="B17" s="877"/>
      <c r="C17" s="876"/>
      <c r="D17" s="647" t="str">
        <f>'Financial Plan 1397'!B16</f>
        <v>Admin And Finance Assistant</v>
      </c>
      <c r="E17" s="648" t="str">
        <f>'Financial Plan 1397'!C16</f>
        <v>month</v>
      </c>
      <c r="F17" s="649">
        <f>'Financial Plan 1397'!E16</f>
        <v>1</v>
      </c>
      <c r="G17" s="650">
        <f>'Financial Plan 1397'!F16</f>
        <v>28000</v>
      </c>
      <c r="H17" s="651">
        <f>'Financial Plan 1397'!H16</f>
        <v>336000</v>
      </c>
      <c r="I17" s="652">
        <v>43101</v>
      </c>
      <c r="J17" s="652">
        <v>43465</v>
      </c>
      <c r="K17" s="653" t="s">
        <v>513</v>
      </c>
      <c r="L17" s="654">
        <v>12</v>
      </c>
      <c r="M17" s="655">
        <f t="shared" si="2"/>
        <v>264</v>
      </c>
      <c r="N17" s="656">
        <f t="shared" si="3"/>
        <v>1848</v>
      </c>
      <c r="O17" s="657"/>
    </row>
    <row r="18" spans="1:15" s="118" customFormat="1" ht="19.5" customHeight="1">
      <c r="A18" s="877"/>
      <c r="B18" s="877"/>
      <c r="C18" s="876"/>
      <c r="D18" s="647" t="str">
        <f>'Financial Plan 1397'!B17</f>
        <v>GIS specialist</v>
      </c>
      <c r="E18" s="648" t="str">
        <f>'Financial Plan 1397'!C17</f>
        <v>month</v>
      </c>
      <c r="F18" s="649">
        <f>'Financial Plan 1397'!E17</f>
        <v>1</v>
      </c>
      <c r="G18" s="650">
        <f>'Financial Plan 1397'!F17</f>
        <v>76000</v>
      </c>
      <c r="H18" s="651">
        <f>'Financial Plan 1397'!H17</f>
        <v>912000</v>
      </c>
      <c r="I18" s="652">
        <v>43101</v>
      </c>
      <c r="J18" s="652">
        <v>43465</v>
      </c>
      <c r="K18" s="653" t="s">
        <v>513</v>
      </c>
      <c r="L18" s="654">
        <v>12</v>
      </c>
      <c r="M18" s="655">
        <f t="shared" si="2"/>
        <v>264</v>
      </c>
      <c r="N18" s="656">
        <f t="shared" si="3"/>
        <v>1848</v>
      </c>
      <c r="O18" s="657"/>
    </row>
    <row r="19" spans="1:15" s="118" customFormat="1" ht="19.5" customHeight="1">
      <c r="A19" s="877"/>
      <c r="B19" s="877"/>
      <c r="C19" s="876"/>
      <c r="D19" s="647" t="str">
        <f>'Financial Plan 1397'!B18</f>
        <v>Greenry Outreach Specialist</v>
      </c>
      <c r="E19" s="648" t="str">
        <f>'Financial Plan 1397'!C18</f>
        <v>month</v>
      </c>
      <c r="F19" s="649">
        <f>'Financial Plan 1397'!E18</f>
        <v>1</v>
      </c>
      <c r="G19" s="650">
        <f>'Financial Plan 1397'!F18</f>
        <v>83111</v>
      </c>
      <c r="H19" s="651">
        <f>'Financial Plan 1397'!H18</f>
        <v>997332</v>
      </c>
      <c r="I19" s="652">
        <v>43101</v>
      </c>
      <c r="J19" s="652">
        <v>43465</v>
      </c>
      <c r="K19" s="653" t="s">
        <v>513</v>
      </c>
      <c r="L19" s="654">
        <v>12</v>
      </c>
      <c r="M19" s="655">
        <f t="shared" si="2"/>
        <v>264</v>
      </c>
      <c r="N19" s="656">
        <f t="shared" si="3"/>
        <v>1848</v>
      </c>
      <c r="O19" s="657"/>
    </row>
    <row r="20" spans="1:15" s="118" customFormat="1" ht="19.5" customHeight="1">
      <c r="A20" s="877"/>
      <c r="B20" s="877"/>
      <c r="C20" s="876"/>
      <c r="D20" s="647" t="str">
        <f>'Financial Plan 1397'!B19</f>
        <v>Urban Greenery and Forestry Development Specialist</v>
      </c>
      <c r="E20" s="648" t="str">
        <f>'Financial Plan 1397'!C19</f>
        <v>month</v>
      </c>
      <c r="F20" s="649">
        <f>'Financial Plan 1397'!E19</f>
        <v>1</v>
      </c>
      <c r="G20" s="650">
        <f>'Financial Plan 1397'!F19</f>
        <v>97333</v>
      </c>
      <c r="H20" s="651">
        <f>'Financial Plan 1397'!H19</f>
        <v>1167996</v>
      </c>
      <c r="I20" s="652">
        <v>43101</v>
      </c>
      <c r="J20" s="652">
        <v>43465</v>
      </c>
      <c r="K20" s="653" t="s">
        <v>513</v>
      </c>
      <c r="L20" s="654">
        <v>12</v>
      </c>
      <c r="M20" s="655">
        <f t="shared" si="2"/>
        <v>264</v>
      </c>
      <c r="N20" s="656">
        <f t="shared" si="3"/>
        <v>1848</v>
      </c>
      <c r="O20" s="657"/>
    </row>
    <row r="21" spans="1:15" s="118" customFormat="1" ht="19.5" customHeight="1">
      <c r="A21" s="877"/>
      <c r="B21" s="877"/>
      <c r="C21" s="876"/>
      <c r="D21" s="647" t="str">
        <f>'Financial Plan 1397'!B20</f>
        <v>Urban Greenery and Forestry Development Officers</v>
      </c>
      <c r="E21" s="648" t="str">
        <f>'Financial Plan 1397'!C20</f>
        <v>month</v>
      </c>
      <c r="F21" s="649">
        <f>'Financial Plan 1397'!E20</f>
        <v>4</v>
      </c>
      <c r="G21" s="650">
        <f>'Financial Plan 1397'!F20</f>
        <v>60667</v>
      </c>
      <c r="H21" s="651">
        <f>'Financial Plan 1397'!H20</f>
        <v>2912016</v>
      </c>
      <c r="I21" s="652">
        <v>43101</v>
      </c>
      <c r="J21" s="652">
        <v>43465</v>
      </c>
      <c r="K21" s="653" t="s">
        <v>513</v>
      </c>
      <c r="L21" s="654">
        <v>12</v>
      </c>
      <c r="M21" s="655">
        <f t="shared" si="2"/>
        <v>1056</v>
      </c>
      <c r="N21" s="656">
        <f t="shared" si="3"/>
        <v>7392</v>
      </c>
      <c r="O21" s="657"/>
    </row>
    <row r="22" spans="1:15" s="118" customFormat="1" ht="19.5" customHeight="1">
      <c r="A22" s="877"/>
      <c r="B22" s="877"/>
      <c r="C22" s="876"/>
      <c r="D22" s="647" t="str">
        <f>'Financial Plan 1397'!B21</f>
        <v>Technican and Rangers</v>
      </c>
      <c r="E22" s="648" t="str">
        <f>'Financial Plan 1397'!C21</f>
        <v>month</v>
      </c>
      <c r="F22" s="649">
        <f>'Financial Plan 1397'!E21</f>
        <v>18</v>
      </c>
      <c r="G22" s="650">
        <f>'Financial Plan 1397'!F21</f>
        <v>12444</v>
      </c>
      <c r="H22" s="651">
        <f>'Financial Plan 1397'!H21</f>
        <v>2687904</v>
      </c>
      <c r="I22" s="652">
        <v>43101</v>
      </c>
      <c r="J22" s="652">
        <v>43465</v>
      </c>
      <c r="K22" s="653" t="s">
        <v>513</v>
      </c>
      <c r="L22" s="654">
        <v>12</v>
      </c>
      <c r="M22" s="655">
        <f t="shared" si="2"/>
        <v>4752</v>
      </c>
      <c r="N22" s="656">
        <f t="shared" si="3"/>
        <v>33264</v>
      </c>
      <c r="O22" s="657"/>
    </row>
    <row r="23" spans="1:15" s="118" customFormat="1" ht="19.5" customHeight="1">
      <c r="A23" s="877"/>
      <c r="B23" s="877"/>
      <c r="C23" s="876"/>
      <c r="D23" s="647" t="str">
        <f>'Financial Plan 1397'!B22</f>
        <v>Design Engineer</v>
      </c>
      <c r="E23" s="648" t="str">
        <f>'Financial Plan 1397'!C22</f>
        <v>month</v>
      </c>
      <c r="F23" s="649">
        <f>'Financial Plan 1397'!E22</f>
        <v>1</v>
      </c>
      <c r="G23" s="650">
        <f>'Financial Plan 1397'!F22</f>
        <v>104444</v>
      </c>
      <c r="H23" s="651">
        <f>'Financial Plan 1397'!H22</f>
        <v>1253328</v>
      </c>
      <c r="I23" s="652">
        <v>43101</v>
      </c>
      <c r="J23" s="652">
        <v>43465</v>
      </c>
      <c r="K23" s="653" t="s">
        <v>513</v>
      </c>
      <c r="L23" s="654">
        <v>12</v>
      </c>
      <c r="M23" s="655">
        <f t="shared" si="2"/>
        <v>264</v>
      </c>
      <c r="N23" s="656">
        <f t="shared" si="3"/>
        <v>1848</v>
      </c>
      <c r="O23" s="657"/>
    </row>
    <row r="24" spans="1:15" s="118" customFormat="1" ht="19.5" customHeight="1">
      <c r="A24" s="877"/>
      <c r="B24" s="877"/>
      <c r="C24" s="876"/>
      <c r="D24" s="647" t="str">
        <f>'Financial Plan 1397'!B23</f>
        <v>Desgin Engineer</v>
      </c>
      <c r="E24" s="648" t="str">
        <f>'Financial Plan 1397'!C23</f>
        <v>month</v>
      </c>
      <c r="F24" s="649">
        <f>'Financial Plan 1397'!E23</f>
        <v>1</v>
      </c>
      <c r="G24" s="650">
        <f>'Financial Plan 1397'!F23</f>
        <v>104444</v>
      </c>
      <c r="H24" s="651">
        <f>'Financial Plan 1397'!H23</f>
        <v>1253328</v>
      </c>
      <c r="I24" s="652">
        <v>43101</v>
      </c>
      <c r="J24" s="652">
        <v>43465</v>
      </c>
      <c r="K24" s="653" t="s">
        <v>513</v>
      </c>
      <c r="L24" s="654">
        <v>12</v>
      </c>
      <c r="M24" s="655">
        <f t="shared" si="2"/>
        <v>264</v>
      </c>
      <c r="N24" s="656">
        <f t="shared" si="3"/>
        <v>1848</v>
      </c>
      <c r="O24" s="657"/>
    </row>
    <row r="25" spans="1:15" s="118" customFormat="1" ht="19.5" customHeight="1">
      <c r="A25" s="877"/>
      <c r="B25" s="877"/>
      <c r="C25" s="876"/>
      <c r="D25" s="647" t="str">
        <f>'Financial Plan 1397'!B24</f>
        <v xml:space="preserve">Survery Engineer </v>
      </c>
      <c r="E25" s="648" t="str">
        <f>'Financial Plan 1397'!C24</f>
        <v>month</v>
      </c>
      <c r="F25" s="649">
        <f>'Financial Plan 1397'!E24</f>
        <v>1</v>
      </c>
      <c r="G25" s="650">
        <f>'Financial Plan 1397'!F24</f>
        <v>97333</v>
      </c>
      <c r="H25" s="651">
        <f>'Financial Plan 1397'!H24</f>
        <v>1167996</v>
      </c>
      <c r="I25" s="652">
        <v>43101</v>
      </c>
      <c r="J25" s="652">
        <v>43465</v>
      </c>
      <c r="K25" s="653" t="s">
        <v>513</v>
      </c>
      <c r="L25" s="654">
        <v>12</v>
      </c>
      <c r="M25" s="655">
        <f t="shared" si="2"/>
        <v>264</v>
      </c>
      <c r="N25" s="656">
        <f t="shared" si="3"/>
        <v>1848</v>
      </c>
      <c r="O25" s="657"/>
    </row>
    <row r="26" spans="1:15" s="118" customFormat="1" ht="19.5" customHeight="1">
      <c r="A26" s="877"/>
      <c r="B26" s="877"/>
      <c r="C26" s="876"/>
      <c r="D26" s="647" t="str">
        <f>'Financial Plan 1397'!B25</f>
        <v xml:space="preserve">Survey Engineer </v>
      </c>
      <c r="E26" s="648" t="str">
        <f>'Financial Plan 1397'!C25</f>
        <v>month</v>
      </c>
      <c r="F26" s="649">
        <f>'Financial Plan 1397'!E25</f>
        <v>1</v>
      </c>
      <c r="G26" s="650">
        <f>'Financial Plan 1397'!F25</f>
        <v>83111</v>
      </c>
      <c r="H26" s="651">
        <f>'Financial Plan 1397'!H25</f>
        <v>997332</v>
      </c>
      <c r="I26" s="652">
        <v>43101</v>
      </c>
      <c r="J26" s="652">
        <v>43465</v>
      </c>
      <c r="K26" s="653" t="s">
        <v>513</v>
      </c>
      <c r="L26" s="654">
        <v>12</v>
      </c>
      <c r="M26" s="655">
        <f t="shared" si="2"/>
        <v>264</v>
      </c>
      <c r="N26" s="656">
        <f t="shared" si="3"/>
        <v>1848</v>
      </c>
      <c r="O26" s="657"/>
    </row>
    <row r="27" spans="1:15" s="118" customFormat="1" ht="19.5" customHeight="1">
      <c r="A27" s="877"/>
      <c r="B27" s="877"/>
      <c r="C27" s="876"/>
      <c r="D27" s="647" t="str">
        <f>'Financial Plan 1397'!B26</f>
        <v xml:space="preserve">Site Engineer </v>
      </c>
      <c r="E27" s="648" t="str">
        <f>'Financial Plan 1397'!C26</f>
        <v>month</v>
      </c>
      <c r="F27" s="649">
        <f>'Financial Plan 1397'!E26</f>
        <v>1</v>
      </c>
      <c r="G27" s="650">
        <f>'Financial Plan 1397'!F26</f>
        <v>33667</v>
      </c>
      <c r="H27" s="651">
        <f>'Financial Plan 1397'!H26</f>
        <v>404004</v>
      </c>
      <c r="I27" s="652">
        <v>43101</v>
      </c>
      <c r="J27" s="652">
        <v>43465</v>
      </c>
      <c r="K27" s="653" t="s">
        <v>513</v>
      </c>
      <c r="L27" s="654">
        <v>12</v>
      </c>
      <c r="M27" s="655">
        <f t="shared" si="2"/>
        <v>264</v>
      </c>
      <c r="N27" s="656">
        <f t="shared" si="3"/>
        <v>1848</v>
      </c>
      <c r="O27" s="657"/>
    </row>
    <row r="28" spans="1:15" s="118" customFormat="1" ht="19.5" customHeight="1">
      <c r="A28" s="877"/>
      <c r="B28" s="877"/>
      <c r="C28" s="876"/>
      <c r="D28" s="647" t="str">
        <f>'Financial Plan 1397'!B27</f>
        <v>Office clerck / Cleaner</v>
      </c>
      <c r="E28" s="648" t="str">
        <f>'Financial Plan 1397'!C27</f>
        <v>month</v>
      </c>
      <c r="F28" s="649">
        <f>'Financial Plan 1397'!E27</f>
        <v>2</v>
      </c>
      <c r="G28" s="650">
        <f>'Financial Plan 1397'!F27</f>
        <v>12444</v>
      </c>
      <c r="H28" s="651">
        <f>'Financial Plan 1397'!H27</f>
        <v>298656</v>
      </c>
      <c r="I28" s="652">
        <v>43101</v>
      </c>
      <c r="J28" s="652">
        <v>43465</v>
      </c>
      <c r="K28" s="653" t="s">
        <v>513</v>
      </c>
      <c r="L28" s="654">
        <v>12</v>
      </c>
      <c r="M28" s="655">
        <f t="shared" si="2"/>
        <v>528</v>
      </c>
      <c r="N28" s="656">
        <f t="shared" si="3"/>
        <v>3696</v>
      </c>
      <c r="O28" s="657"/>
    </row>
    <row r="29" spans="1:15" s="84" customFormat="1" ht="29.25" customHeight="1">
      <c r="A29" s="884" t="s">
        <v>510</v>
      </c>
      <c r="B29" s="884"/>
      <c r="C29" s="884"/>
      <c r="D29" s="884"/>
      <c r="E29" s="658"/>
      <c r="F29" s="659">
        <f>SUM(F14:F28)</f>
        <v>36</v>
      </c>
      <c r="G29" s="660"/>
      <c r="H29" s="661">
        <f>SUM(H14:H28)</f>
        <v>17650548</v>
      </c>
      <c r="I29" s="661"/>
      <c r="J29" s="661"/>
      <c r="K29" s="661">
        <f>SUM(K14:K27)</f>
        <v>0</v>
      </c>
      <c r="L29" s="661">
        <f>SUM(L14:L28)</f>
        <v>178</v>
      </c>
      <c r="M29" s="661">
        <f>SUM(M14:M28)</f>
        <v>9460</v>
      </c>
      <c r="N29" s="662">
        <f>SUM(N14:N28)</f>
        <v>66220</v>
      </c>
      <c r="O29" s="661"/>
    </row>
    <row r="30" spans="1:15" ht="30" customHeight="1">
      <c r="A30" s="879" t="s">
        <v>430</v>
      </c>
      <c r="B30" s="879"/>
      <c r="C30" s="879"/>
      <c r="D30" s="879"/>
      <c r="E30" s="644"/>
      <c r="F30" s="645"/>
      <c r="G30" s="645" t="s">
        <v>177</v>
      </c>
      <c r="H30" s="645"/>
      <c r="I30" s="646"/>
      <c r="J30" s="646"/>
      <c r="K30" s="646"/>
      <c r="L30" s="663" t="s">
        <v>71</v>
      </c>
      <c r="M30" s="628" t="s">
        <v>508</v>
      </c>
      <c r="N30" s="664" t="s">
        <v>517</v>
      </c>
      <c r="O30" s="628"/>
    </row>
    <row r="31" spans="1:15" ht="33.75" customHeight="1">
      <c r="A31" s="878" t="s">
        <v>489</v>
      </c>
      <c r="B31" s="881" t="s">
        <v>491</v>
      </c>
      <c r="C31" s="881" t="s">
        <v>515</v>
      </c>
      <c r="D31" s="647" t="str">
        <f>'Financial Plan 1397'!B30</f>
        <v>Land preparation and plotting in the total area 40 jeribs</v>
      </c>
      <c r="E31" s="648" t="str">
        <f>'Financial Plan 1397'!C30</f>
        <v>m2</v>
      </c>
      <c r="F31" s="651">
        <f>'Financial Plan 1397'!D30</f>
        <v>80000</v>
      </c>
      <c r="G31" s="665">
        <f>'Financial Plan 1397'!F30</f>
        <v>5</v>
      </c>
      <c r="H31" s="665">
        <f>'Financial Plan 1397'!H30</f>
        <v>400000</v>
      </c>
      <c r="I31" s="634">
        <v>43141</v>
      </c>
      <c r="J31" s="634">
        <v>43414</v>
      </c>
      <c r="K31" s="666" t="s">
        <v>516</v>
      </c>
      <c r="L31" s="666">
        <v>9</v>
      </c>
      <c r="M31" s="667">
        <f>'Financial Plan 1397'!G30</f>
        <v>1000</v>
      </c>
      <c r="N31" s="668">
        <f>M31*7</f>
        <v>7000</v>
      </c>
      <c r="O31" s="665"/>
    </row>
    <row r="32" spans="1:15" s="110" customFormat="1" ht="33.75" customHeight="1">
      <c r="A32" s="878"/>
      <c r="B32" s="881"/>
      <c r="C32" s="881"/>
      <c r="D32" s="647" t="str">
        <f>'Financial Plan 1397'!B31</f>
        <v>Cultivation of tree's seeds in the total area of 10 jeribs</v>
      </c>
      <c r="E32" s="648" t="str">
        <f>'Financial Plan 1397'!C31</f>
        <v>m2</v>
      </c>
      <c r="F32" s="651">
        <f>'Financial Plan 1397'!D31</f>
        <v>20000</v>
      </c>
      <c r="G32" s="665">
        <f>'Financial Plan 1397'!F31</f>
        <v>1.3333333333333333</v>
      </c>
      <c r="H32" s="665">
        <f>'Financial Plan 1397'!H31</f>
        <v>26666.666666666664</v>
      </c>
      <c r="I32" s="634">
        <v>43141</v>
      </c>
      <c r="J32" s="634">
        <v>43414</v>
      </c>
      <c r="K32" s="666" t="s">
        <v>516</v>
      </c>
      <c r="L32" s="666">
        <v>9</v>
      </c>
      <c r="M32" s="667">
        <f>'Financial Plan 1397'!G31</f>
        <v>66.666666666666671</v>
      </c>
      <c r="N32" s="668">
        <f t="shared" ref="N32:N37" si="4">M32*7</f>
        <v>466.66666666666669</v>
      </c>
      <c r="O32" s="665"/>
    </row>
    <row r="33" spans="1:15" s="110" customFormat="1" ht="33.75" customHeight="1">
      <c r="A33" s="878"/>
      <c r="B33" s="881"/>
      <c r="C33" s="881"/>
      <c r="D33" s="647" t="str">
        <f>'Financial Plan 1397'!B32</f>
        <v xml:space="preserve">Filling and cultivation of plastic sacs </v>
      </c>
      <c r="E33" s="648" t="str">
        <f>'Financial Plan 1397'!C32</f>
        <v>sac</v>
      </c>
      <c r="F33" s="651">
        <f>'Financial Plan 1397'!D32</f>
        <v>188000</v>
      </c>
      <c r="G33" s="665">
        <f>'Financial Plan 1397'!F32</f>
        <v>1.6</v>
      </c>
      <c r="H33" s="665">
        <f>'Financial Plan 1397'!H32</f>
        <v>300800</v>
      </c>
      <c r="I33" s="634">
        <v>43141</v>
      </c>
      <c r="J33" s="634">
        <v>43414</v>
      </c>
      <c r="K33" s="666" t="s">
        <v>516</v>
      </c>
      <c r="L33" s="666">
        <v>9</v>
      </c>
      <c r="M33" s="667">
        <f>'Financial Plan 1397'!G32</f>
        <v>752</v>
      </c>
      <c r="N33" s="668">
        <f t="shared" si="4"/>
        <v>5264</v>
      </c>
      <c r="O33" s="665"/>
    </row>
    <row r="34" spans="1:15" s="110" customFormat="1" ht="33.75" customHeight="1">
      <c r="A34" s="878"/>
      <c r="B34" s="881"/>
      <c r="C34" s="881"/>
      <c r="D34" s="647" t="str">
        <f>'Financial Plan 1397'!B33</f>
        <v>weed control and softing of 41 jeribs lands for 3 times</v>
      </c>
      <c r="E34" s="648" t="str">
        <f>'Financial Plan 1397'!C33</f>
        <v>m2</v>
      </c>
      <c r="F34" s="651">
        <f>'Financial Plan 1397'!D33</f>
        <v>243000</v>
      </c>
      <c r="G34" s="665">
        <f>'Financial Plan 1397'!F33</f>
        <v>5</v>
      </c>
      <c r="H34" s="665">
        <f>'Financial Plan 1397'!H33</f>
        <v>1215000</v>
      </c>
      <c r="I34" s="634">
        <v>43141</v>
      </c>
      <c r="J34" s="634">
        <v>43414</v>
      </c>
      <c r="K34" s="666" t="s">
        <v>516</v>
      </c>
      <c r="L34" s="666">
        <v>9</v>
      </c>
      <c r="M34" s="667">
        <f>'Financial Plan 1397'!G33</f>
        <v>3037.5</v>
      </c>
      <c r="N34" s="668">
        <f t="shared" si="4"/>
        <v>21262.5</v>
      </c>
      <c r="O34" s="665"/>
    </row>
    <row r="35" spans="1:15" s="110" customFormat="1" ht="33.75" customHeight="1">
      <c r="A35" s="878"/>
      <c r="B35" s="881"/>
      <c r="C35" s="881"/>
      <c r="D35" s="647" t="str">
        <f>'Financial Plan 1397'!B34</f>
        <v>sparse of seedlings</v>
      </c>
      <c r="E35" s="648" t="str">
        <f>'Financial Plan 1397'!C34</f>
        <v>seedling</v>
      </c>
      <c r="F35" s="651">
        <f>'Financial Plan 1397'!D34</f>
        <v>200000</v>
      </c>
      <c r="G35" s="665">
        <f>'Financial Plan 1397'!F34</f>
        <v>1.6</v>
      </c>
      <c r="H35" s="665">
        <f>'Financial Plan 1397'!H34</f>
        <v>320000</v>
      </c>
      <c r="I35" s="634">
        <v>43141</v>
      </c>
      <c r="J35" s="634">
        <v>43414</v>
      </c>
      <c r="K35" s="666" t="s">
        <v>516</v>
      </c>
      <c r="L35" s="666">
        <v>9</v>
      </c>
      <c r="M35" s="667">
        <f>'Financial Plan 1397'!G34</f>
        <v>800</v>
      </c>
      <c r="N35" s="668">
        <f t="shared" si="4"/>
        <v>5600</v>
      </c>
      <c r="O35" s="665"/>
    </row>
    <row r="36" spans="1:15" s="85" customFormat="1" ht="33.75" customHeight="1">
      <c r="A36" s="878"/>
      <c r="B36" s="881"/>
      <c r="C36" s="881"/>
      <c r="D36" s="647" t="str">
        <f>'Financial Plan 1397'!B35</f>
        <v xml:space="preserve">Preparation of Organic Compost  </v>
      </c>
      <c r="E36" s="648" t="str">
        <f>'Financial Plan 1397'!C35</f>
        <v>m3</v>
      </c>
      <c r="F36" s="651">
        <f>'Financial Plan 1397'!D35</f>
        <v>100</v>
      </c>
      <c r="G36" s="665">
        <f>'Financial Plan 1397'!F35</f>
        <v>400</v>
      </c>
      <c r="H36" s="665">
        <f>'Financial Plan 1397'!H35</f>
        <v>40000</v>
      </c>
      <c r="I36" s="634">
        <v>43141</v>
      </c>
      <c r="J36" s="634">
        <v>43414</v>
      </c>
      <c r="K36" s="666" t="s">
        <v>516</v>
      </c>
      <c r="L36" s="666">
        <v>9</v>
      </c>
      <c r="M36" s="667">
        <f>'Financial Plan 1397'!G35</f>
        <v>100</v>
      </c>
      <c r="N36" s="668">
        <f t="shared" si="4"/>
        <v>700</v>
      </c>
      <c r="O36" s="669"/>
    </row>
    <row r="37" spans="1:15" s="85" customFormat="1" ht="33.75" customHeight="1">
      <c r="A37" s="878"/>
      <c r="B37" s="881"/>
      <c r="C37" s="881"/>
      <c r="D37" s="647" t="str">
        <f>'Financial Plan 1397'!B36</f>
        <v>Uprooting off seedling and packing of 127500 saplings</v>
      </c>
      <c r="E37" s="648" t="str">
        <f>'Financial Plan 1397'!C36</f>
        <v>seedling</v>
      </c>
      <c r="F37" s="651">
        <f>'Financial Plan 1397'!D36</f>
        <v>250000</v>
      </c>
      <c r="G37" s="665">
        <f>'Financial Plan 1397'!F36</f>
        <v>6.666666666666667</v>
      </c>
      <c r="H37" s="665">
        <f>'Financial Plan 1397'!H36</f>
        <v>1666666.6666666667</v>
      </c>
      <c r="I37" s="634">
        <v>43141</v>
      </c>
      <c r="J37" s="634">
        <v>43414</v>
      </c>
      <c r="K37" s="666" t="s">
        <v>516</v>
      </c>
      <c r="L37" s="666">
        <v>9</v>
      </c>
      <c r="M37" s="667">
        <f>'Financial Plan 1397'!G36</f>
        <v>4166.666666666667</v>
      </c>
      <c r="N37" s="668">
        <f t="shared" si="4"/>
        <v>29166.666666666668</v>
      </c>
      <c r="O37" s="669"/>
    </row>
    <row r="38" spans="1:15" s="84" customFormat="1" ht="21">
      <c r="A38" s="880" t="s">
        <v>510</v>
      </c>
      <c r="B38" s="880"/>
      <c r="C38" s="880"/>
      <c r="D38" s="880"/>
      <c r="E38" s="658"/>
      <c r="F38" s="660"/>
      <c r="G38" s="660"/>
      <c r="H38" s="661">
        <f>SUM(H31:H37)</f>
        <v>3969133.333333334</v>
      </c>
      <c r="I38" s="661"/>
      <c r="J38" s="661"/>
      <c r="K38" s="661"/>
      <c r="L38" s="670">
        <f>SUM(L31:L37)</f>
        <v>63</v>
      </c>
      <c r="M38" s="661">
        <f>SUM(M31:M37)</f>
        <v>9922.8333333333339</v>
      </c>
      <c r="N38" s="662">
        <f>SUM(N31:N37)</f>
        <v>69459.833333333343</v>
      </c>
      <c r="O38" s="661">
        <f>SUM(O31:O37)</f>
        <v>0</v>
      </c>
    </row>
    <row r="39" spans="1:15" s="110" customFormat="1" ht="48.75" customHeight="1">
      <c r="A39" s="671" t="s">
        <v>492</v>
      </c>
      <c r="B39" s="671" t="s">
        <v>478</v>
      </c>
      <c r="C39" s="671" t="s">
        <v>479</v>
      </c>
      <c r="D39" s="672" t="s">
        <v>480</v>
      </c>
      <c r="E39" s="621" t="s">
        <v>392</v>
      </c>
      <c r="F39" s="622" t="s">
        <v>481</v>
      </c>
      <c r="G39" s="622" t="s">
        <v>482</v>
      </c>
      <c r="H39" s="622" t="s">
        <v>483</v>
      </c>
      <c r="I39" s="623" t="s">
        <v>484</v>
      </c>
      <c r="J39" s="623" t="s">
        <v>485</v>
      </c>
      <c r="K39" s="624" t="s">
        <v>486</v>
      </c>
      <c r="L39" s="874" t="s">
        <v>487</v>
      </c>
      <c r="M39" s="874"/>
      <c r="N39" s="625" t="s">
        <v>488</v>
      </c>
      <c r="O39" s="626" t="s">
        <v>69</v>
      </c>
    </row>
    <row r="40" spans="1:15" ht="36.75" customHeight="1">
      <c r="A40" s="879" t="s">
        <v>436</v>
      </c>
      <c r="B40" s="879"/>
      <c r="C40" s="879"/>
      <c r="D40" s="879"/>
      <c r="E40" s="644"/>
      <c r="F40" s="645"/>
      <c r="G40" s="645" t="s">
        <v>177</v>
      </c>
      <c r="H40" s="645"/>
      <c r="I40" s="646"/>
      <c r="J40" s="646"/>
      <c r="K40" s="646"/>
      <c r="L40" s="663" t="s">
        <v>71</v>
      </c>
      <c r="M40" s="628" t="s">
        <v>508</v>
      </c>
      <c r="N40" s="664" t="s">
        <v>517</v>
      </c>
      <c r="O40" s="628"/>
    </row>
    <row r="41" spans="1:15" s="110" customFormat="1" ht="19.5" customHeight="1">
      <c r="A41" s="885" t="s">
        <v>489</v>
      </c>
      <c r="B41" s="885" t="s">
        <v>491</v>
      </c>
      <c r="C41" s="885" t="s">
        <v>490</v>
      </c>
      <c r="D41" s="673" t="str">
        <f>'Financial Plan 1397'!B39</f>
        <v>Total Area</v>
      </c>
      <c r="E41" s="674" t="str">
        <f>'Financial Plan 1397'!C39</f>
        <v>Ha</v>
      </c>
      <c r="F41" s="675">
        <f>'Financial Plan 1397'!D39</f>
        <v>415</v>
      </c>
      <c r="G41" s="676">
        <f>'Financial Plan 1397'!F39</f>
        <v>0</v>
      </c>
      <c r="H41" s="676">
        <f>'Financial Plan 1397'!H39</f>
        <v>0</v>
      </c>
      <c r="I41" s="677">
        <v>43151</v>
      </c>
      <c r="J41" s="677">
        <v>43344</v>
      </c>
      <c r="K41" s="666" t="s">
        <v>559</v>
      </c>
      <c r="L41" s="666"/>
      <c r="M41" s="678">
        <f t="shared" ref="M41:M49" si="5">H41/400</f>
        <v>0</v>
      </c>
      <c r="N41" s="679">
        <f t="shared" ref="N41:N48" si="6">M41*7</f>
        <v>0</v>
      </c>
      <c r="O41" s="680"/>
    </row>
    <row r="42" spans="1:15" s="110" customFormat="1" ht="19.5" customHeight="1">
      <c r="A42" s="885"/>
      <c r="B42" s="885"/>
      <c r="C42" s="885"/>
      <c r="D42" s="673" t="str">
        <f>'Financial Plan 1397'!B40</f>
        <v xml:space="preserve">Construction of Trenching in the size of 2 and 4 meters total </v>
      </c>
      <c r="E42" s="674" t="str">
        <f>'Financial Plan 1397'!C40</f>
        <v>m</v>
      </c>
      <c r="F42" s="675">
        <f>'Financial Plan 1397'!D40</f>
        <v>691390</v>
      </c>
      <c r="G42" s="676">
        <f>'Financial Plan 1397'!F40</f>
        <v>23.529411764705884</v>
      </c>
      <c r="H42" s="676">
        <f>'Financial Plan 1397'!H40</f>
        <v>16268000.000000002</v>
      </c>
      <c r="I42" s="677">
        <v>43151</v>
      </c>
      <c r="J42" s="677">
        <v>43344</v>
      </c>
      <c r="K42" s="666" t="s">
        <v>559</v>
      </c>
      <c r="L42" s="666">
        <v>9</v>
      </c>
      <c r="M42" s="678">
        <f t="shared" si="5"/>
        <v>40670.000000000007</v>
      </c>
      <c r="N42" s="679">
        <f t="shared" si="6"/>
        <v>284690.00000000006</v>
      </c>
      <c r="O42" s="680"/>
    </row>
    <row r="43" spans="1:15" s="110" customFormat="1" ht="19.5" customHeight="1">
      <c r="A43" s="885"/>
      <c r="B43" s="885"/>
      <c r="C43" s="885"/>
      <c r="D43" s="673" t="str">
        <f>'Financial Plan 1397'!B41</f>
        <v>Construction  of Forest Road</v>
      </c>
      <c r="E43" s="674" t="str">
        <f>'Financial Plan 1397'!C41</f>
        <v>m2</v>
      </c>
      <c r="F43" s="675">
        <f>'Financial Plan 1397'!D41</f>
        <v>20750</v>
      </c>
      <c r="G43" s="676">
        <f>'Financial Plan 1397'!F41</f>
        <v>23.529411764705884</v>
      </c>
      <c r="H43" s="676">
        <f>'Financial Plan 1397'!H41</f>
        <v>488235.29411764711</v>
      </c>
      <c r="I43" s="677">
        <v>43151</v>
      </c>
      <c r="J43" s="677">
        <v>43344</v>
      </c>
      <c r="K43" s="666" t="s">
        <v>559</v>
      </c>
      <c r="L43" s="666">
        <v>9</v>
      </c>
      <c r="M43" s="678">
        <f t="shared" si="5"/>
        <v>1220.5882352941178</v>
      </c>
      <c r="N43" s="679">
        <f t="shared" si="6"/>
        <v>8544.1176470588252</v>
      </c>
      <c r="O43" s="680"/>
    </row>
    <row r="44" spans="1:15" s="110" customFormat="1" ht="19.5" customHeight="1">
      <c r="A44" s="885"/>
      <c r="B44" s="885"/>
      <c r="C44" s="885"/>
      <c r="D44" s="673" t="str">
        <f>'Financial Plan 1397'!B42</f>
        <v>Construction of Check dams in the planned areas</v>
      </c>
      <c r="E44" s="674" t="str">
        <f>'Financial Plan 1397'!C42</f>
        <v>m3</v>
      </c>
      <c r="F44" s="675">
        <f>'Financial Plan 1397'!D42</f>
        <v>415</v>
      </c>
      <c r="G44" s="676">
        <f>'Financial Plan 1397'!F42</f>
        <v>800</v>
      </c>
      <c r="H44" s="676">
        <f>'Financial Plan 1397'!H42</f>
        <v>332000</v>
      </c>
      <c r="I44" s="677">
        <v>43151</v>
      </c>
      <c r="J44" s="677">
        <v>43344</v>
      </c>
      <c r="K44" s="666" t="s">
        <v>559</v>
      </c>
      <c r="L44" s="666">
        <v>9</v>
      </c>
      <c r="M44" s="678">
        <f t="shared" si="5"/>
        <v>830</v>
      </c>
      <c r="N44" s="679">
        <f t="shared" si="6"/>
        <v>5810</v>
      </c>
      <c r="O44" s="680"/>
    </row>
    <row r="45" spans="1:15" s="110" customFormat="1" ht="19.5" customHeight="1">
      <c r="A45" s="885"/>
      <c r="B45" s="885"/>
      <c r="C45" s="885"/>
      <c r="D45" s="673" t="str">
        <f>'Financial Plan 1397'!B43</f>
        <v>Digging  of Pits in the planned areas</v>
      </c>
      <c r="E45" s="674" t="str">
        <f>'Financial Plan 1397'!C43</f>
        <v>Pits</v>
      </c>
      <c r="F45" s="675">
        <f>'Financial Plan 1397'!D43</f>
        <v>332000</v>
      </c>
      <c r="G45" s="676">
        <f>'Financial Plan 1397'!F43</f>
        <v>23.529411764705884</v>
      </c>
      <c r="H45" s="676">
        <f>'Financial Plan 1397'!H43</f>
        <v>7811764.7058823537</v>
      </c>
      <c r="I45" s="677">
        <v>43151</v>
      </c>
      <c r="J45" s="677">
        <v>43344</v>
      </c>
      <c r="K45" s="666" t="s">
        <v>559</v>
      </c>
      <c r="L45" s="666">
        <v>9</v>
      </c>
      <c r="M45" s="678">
        <f t="shared" si="5"/>
        <v>19529.411764705885</v>
      </c>
      <c r="N45" s="679">
        <f t="shared" si="6"/>
        <v>136705.8823529412</v>
      </c>
      <c r="O45" s="680"/>
    </row>
    <row r="46" spans="1:15" s="110" customFormat="1" ht="19.5" customHeight="1">
      <c r="A46" s="885"/>
      <c r="B46" s="885"/>
      <c r="C46" s="885"/>
      <c r="D46" s="673" t="str">
        <f>'Financial Plan 1397'!B44</f>
        <v xml:space="preserve">Planting of different sapling </v>
      </c>
      <c r="E46" s="674" t="str">
        <f>'Financial Plan 1397'!C44</f>
        <v xml:space="preserve">Saplings </v>
      </c>
      <c r="F46" s="675">
        <f>'Financial Plan 1397'!D44</f>
        <v>166000</v>
      </c>
      <c r="G46" s="676">
        <f>'Financial Plan 1397'!F44</f>
        <v>8</v>
      </c>
      <c r="H46" s="676">
        <f>'Financial Plan 1397'!H44</f>
        <v>1328000</v>
      </c>
      <c r="I46" s="677">
        <v>43151</v>
      </c>
      <c r="J46" s="677">
        <v>43344</v>
      </c>
      <c r="K46" s="666" t="s">
        <v>559</v>
      </c>
      <c r="L46" s="666">
        <v>9</v>
      </c>
      <c r="M46" s="678">
        <f t="shared" si="5"/>
        <v>3320</v>
      </c>
      <c r="N46" s="679">
        <f t="shared" si="6"/>
        <v>23240</v>
      </c>
      <c r="O46" s="680"/>
    </row>
    <row r="47" spans="1:15" s="119" customFormat="1" ht="21.75" customHeight="1">
      <c r="A47" s="885"/>
      <c r="B47" s="885"/>
      <c r="C47" s="885"/>
      <c r="D47" s="673" t="str">
        <f>'Financial Plan 1397'!B45</f>
        <v xml:space="preserve">Cultivation of different kinds of perenial forage </v>
      </c>
      <c r="E47" s="674" t="str">
        <f>'Financial Plan 1397'!C45</f>
        <v>kg</v>
      </c>
      <c r="F47" s="675">
        <f>'Financial Plan 1397'!D45</f>
        <v>101</v>
      </c>
      <c r="G47" s="676">
        <f>'Financial Plan 1397'!F45</f>
        <v>400</v>
      </c>
      <c r="H47" s="676">
        <f>'Financial Plan 1397'!H45</f>
        <v>40400</v>
      </c>
      <c r="I47" s="677">
        <v>43151</v>
      </c>
      <c r="J47" s="677">
        <v>43344</v>
      </c>
      <c r="K47" s="666" t="s">
        <v>559</v>
      </c>
      <c r="L47" s="666">
        <v>9</v>
      </c>
      <c r="M47" s="678">
        <f t="shared" si="5"/>
        <v>101</v>
      </c>
      <c r="N47" s="679">
        <f t="shared" si="6"/>
        <v>707</v>
      </c>
      <c r="O47" s="681"/>
    </row>
    <row r="48" spans="1:15" s="119" customFormat="1" ht="21.75" customHeight="1">
      <c r="A48" s="885"/>
      <c r="B48" s="885"/>
      <c r="C48" s="885"/>
      <c r="D48" s="673" t="str">
        <f>'Financial Plan 1397'!B46</f>
        <v xml:space="preserve">Cultivation of  seeds of purple, mountain almond  </v>
      </c>
      <c r="E48" s="674" t="str">
        <f>'Financial Plan 1397'!C46</f>
        <v>Pits</v>
      </c>
      <c r="F48" s="675">
        <f>'Financial Plan 1397'!D46</f>
        <v>166000</v>
      </c>
      <c r="G48" s="676">
        <f>'Financial Plan 1397'!F46</f>
        <v>1.6</v>
      </c>
      <c r="H48" s="676">
        <f>'Financial Plan 1397'!H46</f>
        <v>265600</v>
      </c>
      <c r="I48" s="677">
        <v>43151</v>
      </c>
      <c r="J48" s="677">
        <v>43344</v>
      </c>
      <c r="K48" s="666" t="s">
        <v>559</v>
      </c>
      <c r="L48" s="666">
        <v>9</v>
      </c>
      <c r="M48" s="678">
        <f t="shared" si="5"/>
        <v>664</v>
      </c>
      <c r="N48" s="679">
        <f t="shared" si="6"/>
        <v>4648</v>
      </c>
      <c r="O48" s="681"/>
    </row>
    <row r="49" spans="1:15" s="119" customFormat="1" ht="21.75" customHeight="1">
      <c r="A49" s="885"/>
      <c r="B49" s="885"/>
      <c r="C49" s="885"/>
      <c r="D49" s="673" t="str">
        <f>'Financial Plan 1397'!B47</f>
        <v>Irrigation of  planted cuttings by workers for 2 times</v>
      </c>
      <c r="E49" s="674" t="str">
        <f>'Financial Plan 1397'!C47</f>
        <v xml:space="preserve">Saplings </v>
      </c>
      <c r="F49" s="675">
        <f>'Financial Plan 1397'!D47</f>
        <v>166000</v>
      </c>
      <c r="G49" s="676">
        <f>'Financial Plan 1397'!F47</f>
        <v>1.6</v>
      </c>
      <c r="H49" s="676">
        <f>'Financial Plan 1397'!H47</f>
        <v>265600</v>
      </c>
      <c r="I49" s="677">
        <v>43151</v>
      </c>
      <c r="J49" s="677">
        <v>43344</v>
      </c>
      <c r="K49" s="666" t="s">
        <v>559</v>
      </c>
      <c r="L49" s="666">
        <v>9</v>
      </c>
      <c r="M49" s="678">
        <f t="shared" si="5"/>
        <v>664</v>
      </c>
      <c r="N49" s="679">
        <f t="shared" ref="N49" si="7">M49*7</f>
        <v>4648</v>
      </c>
      <c r="O49" s="682"/>
    </row>
    <row r="50" spans="1:15" s="78" customFormat="1" ht="20.25" customHeight="1">
      <c r="A50" s="883" t="s">
        <v>510</v>
      </c>
      <c r="B50" s="883"/>
      <c r="C50" s="883"/>
      <c r="D50" s="883"/>
      <c r="E50" s="883"/>
      <c r="F50" s="641"/>
      <c r="G50" s="641"/>
      <c r="H50" s="641">
        <f>SUM(H41:H49)</f>
        <v>26799600</v>
      </c>
      <c r="I50" s="641"/>
      <c r="J50" s="641"/>
      <c r="K50" s="641"/>
      <c r="L50" s="641">
        <f>SUM(L41:L49)</f>
        <v>72</v>
      </c>
      <c r="M50" s="641">
        <f>SUM(M42:M49)</f>
        <v>66999.000000000015</v>
      </c>
      <c r="N50" s="643">
        <f>SUM(N42:N49)</f>
        <v>468993.00000000012</v>
      </c>
      <c r="O50" s="641">
        <f>SUM(O47:O49)</f>
        <v>0</v>
      </c>
    </row>
    <row r="51" spans="1:15" s="110" customFormat="1" ht="48.75" customHeight="1">
      <c r="A51" s="671" t="s">
        <v>492</v>
      </c>
      <c r="B51" s="671" t="s">
        <v>478</v>
      </c>
      <c r="C51" s="671" t="s">
        <v>479</v>
      </c>
      <c r="D51" s="672" t="s">
        <v>480</v>
      </c>
      <c r="E51" s="621" t="s">
        <v>392</v>
      </c>
      <c r="F51" s="622" t="s">
        <v>481</v>
      </c>
      <c r="G51" s="622" t="s">
        <v>482</v>
      </c>
      <c r="H51" s="622" t="s">
        <v>483</v>
      </c>
      <c r="I51" s="623" t="s">
        <v>484</v>
      </c>
      <c r="J51" s="623" t="s">
        <v>485</v>
      </c>
      <c r="K51" s="624" t="s">
        <v>486</v>
      </c>
      <c r="L51" s="874" t="s">
        <v>487</v>
      </c>
      <c r="M51" s="874"/>
      <c r="N51" s="625" t="s">
        <v>488</v>
      </c>
      <c r="O51" s="626" t="s">
        <v>69</v>
      </c>
    </row>
    <row r="52" spans="1:15" s="110" customFormat="1" ht="33.75" customHeight="1">
      <c r="A52" s="882" t="s">
        <v>518</v>
      </c>
      <c r="B52" s="882"/>
      <c r="C52" s="882"/>
      <c r="D52" s="882"/>
      <c r="E52" s="644"/>
      <c r="F52" s="645"/>
      <c r="G52" s="645" t="s">
        <v>177</v>
      </c>
      <c r="H52" s="645"/>
      <c r="I52" s="646"/>
      <c r="J52" s="646"/>
      <c r="K52" s="646"/>
      <c r="L52" s="663" t="s">
        <v>71</v>
      </c>
      <c r="M52" s="628" t="s">
        <v>508</v>
      </c>
      <c r="N52" s="664" t="s">
        <v>517</v>
      </c>
      <c r="O52" s="628"/>
    </row>
    <row r="53" spans="1:15" s="264" customFormat="1" ht="21.95" customHeight="1">
      <c r="A53" s="876" t="s">
        <v>489</v>
      </c>
      <c r="B53" s="876" t="s">
        <v>491</v>
      </c>
      <c r="C53" s="876" t="s">
        <v>490</v>
      </c>
      <c r="D53" s="673" t="str">
        <f>'Financial Plan 1397'!B50</f>
        <v>Total Area</v>
      </c>
      <c r="E53" s="683" t="str">
        <f>'Financial Plan 1397'!C50</f>
        <v>Ha</v>
      </c>
      <c r="F53" s="684">
        <f>'Financial Plan 1397'!D50</f>
        <v>1123.5</v>
      </c>
      <c r="G53" s="685">
        <f>'Financial Plan 1397'!F50</f>
        <v>0</v>
      </c>
      <c r="H53" s="686">
        <f>'Financial Plan 1397'!H50</f>
        <v>0</v>
      </c>
      <c r="I53" s="687"/>
      <c r="J53" s="687"/>
      <c r="K53" s="688"/>
      <c r="L53" s="666"/>
      <c r="M53" s="689">
        <f>H53/400</f>
        <v>0</v>
      </c>
      <c r="N53" s="690">
        <f>M53*7</f>
        <v>0</v>
      </c>
      <c r="O53" s="686"/>
    </row>
    <row r="54" spans="1:15" s="264" customFormat="1" ht="21.95" customHeight="1">
      <c r="A54" s="876"/>
      <c r="B54" s="876"/>
      <c r="C54" s="876"/>
      <c r="D54" s="673" t="str">
        <f>'Financial Plan 1397'!B51</f>
        <v>Irrigation of  plastic sacs</v>
      </c>
      <c r="E54" s="683" t="str">
        <f>'Financial Plan 1397'!C51</f>
        <v>Sacs</v>
      </c>
      <c r="F54" s="684">
        <f>'Financial Plan 1397'!D51</f>
        <v>1749000</v>
      </c>
      <c r="G54" s="685">
        <f>'Financial Plan 1397'!F51</f>
        <v>0.2</v>
      </c>
      <c r="H54" s="686">
        <f>'Financial Plan 1397'!H51</f>
        <v>349800</v>
      </c>
      <c r="I54" s="687">
        <v>43160</v>
      </c>
      <c r="J54" s="687">
        <v>43456</v>
      </c>
      <c r="K54" s="666" t="s">
        <v>559</v>
      </c>
      <c r="L54" s="666">
        <v>9</v>
      </c>
      <c r="M54" s="689">
        <f>'Financial Plan 1397'!G51</f>
        <v>874.5</v>
      </c>
      <c r="N54" s="690">
        <f>M54*7</f>
        <v>6121.5</v>
      </c>
      <c r="O54" s="686"/>
    </row>
    <row r="55" spans="1:15" s="264" customFormat="1" ht="21.95" customHeight="1">
      <c r="A55" s="876"/>
      <c r="B55" s="876"/>
      <c r="C55" s="876"/>
      <c r="D55" s="673" t="str">
        <f>'Financial Plan 1397'!B52</f>
        <v>Irrigation of last year planted trees and direct seedings</v>
      </c>
      <c r="E55" s="683" t="str">
        <f>'Financial Plan 1397'!C52</f>
        <v>NO</v>
      </c>
      <c r="F55" s="684">
        <f>'Financial Plan 1397'!D52</f>
        <v>7809111</v>
      </c>
      <c r="G55" s="685">
        <f>'Financial Plan 1397'!F52</f>
        <v>1.6</v>
      </c>
      <c r="H55" s="686">
        <f>'Financial Plan 1397'!H52</f>
        <v>12494577.6</v>
      </c>
      <c r="I55" s="687">
        <v>43160</v>
      </c>
      <c r="J55" s="687">
        <v>43456</v>
      </c>
      <c r="K55" s="666" t="s">
        <v>559</v>
      </c>
      <c r="L55" s="666">
        <v>9</v>
      </c>
      <c r="M55" s="689">
        <f>'Financial Plan 1397'!G52</f>
        <v>31236.444</v>
      </c>
      <c r="N55" s="690">
        <f t="shared" ref="N55:N62" si="8">M55*7</f>
        <v>218655.10800000001</v>
      </c>
      <c r="O55" s="686"/>
    </row>
    <row r="56" spans="1:15" s="264" customFormat="1" ht="21.95" customHeight="1">
      <c r="A56" s="876"/>
      <c r="B56" s="876"/>
      <c r="C56" s="876"/>
      <c r="D56" s="673" t="str">
        <f>'Financial Plan 1397'!B53</f>
        <v>Repairing of traces and pits</v>
      </c>
      <c r="E56" s="683" t="str">
        <f>'Financial Plan 1397'!C53</f>
        <v>NO</v>
      </c>
      <c r="F56" s="684">
        <f>'Financial Plan 1397'!D53</f>
        <v>76290.2</v>
      </c>
      <c r="G56" s="685">
        <f>'Financial Plan 1397'!F53</f>
        <v>4</v>
      </c>
      <c r="H56" s="686">
        <f>'Financial Plan 1397'!H53</f>
        <v>305160.8</v>
      </c>
      <c r="I56" s="687">
        <v>43160</v>
      </c>
      <c r="J56" s="687">
        <v>43456</v>
      </c>
      <c r="K56" s="666" t="s">
        <v>559</v>
      </c>
      <c r="L56" s="666">
        <v>9</v>
      </c>
      <c r="M56" s="689">
        <f>'Financial Plan 1397'!G53</f>
        <v>762.90199999999993</v>
      </c>
      <c r="N56" s="690">
        <f t="shared" si="8"/>
        <v>5340.3139999999994</v>
      </c>
      <c r="O56" s="686"/>
    </row>
    <row r="57" spans="1:15" s="264" customFormat="1" ht="33" customHeight="1">
      <c r="A57" s="876"/>
      <c r="B57" s="876"/>
      <c r="C57" s="876"/>
      <c r="D57" s="673" t="str">
        <f>'Financial Plan 1397'!B54</f>
        <v>Mulching of planted trees for weed control and protecting the stem form the direct sun shine</v>
      </c>
      <c r="E57" s="683" t="str">
        <f>'Financial Plan 1397'!C54</f>
        <v>NO</v>
      </c>
      <c r="F57" s="684">
        <f>'Financial Plan 1397'!D54</f>
        <v>381451</v>
      </c>
      <c r="G57" s="685">
        <f>'Financial Plan 1397'!F54</f>
        <v>1</v>
      </c>
      <c r="H57" s="686">
        <f>'Financial Plan 1397'!H54</f>
        <v>381451</v>
      </c>
      <c r="I57" s="687">
        <v>43160</v>
      </c>
      <c r="J57" s="687">
        <v>43456</v>
      </c>
      <c r="K57" s="666" t="s">
        <v>559</v>
      </c>
      <c r="L57" s="666">
        <v>9</v>
      </c>
      <c r="M57" s="689">
        <f>'Financial Plan 1397'!G54</f>
        <v>953.62750000000005</v>
      </c>
      <c r="N57" s="690">
        <f t="shared" si="8"/>
        <v>6675.3924999999999</v>
      </c>
      <c r="O57" s="686"/>
    </row>
    <row r="58" spans="1:15" s="264" customFormat="1" ht="21.95" customHeight="1">
      <c r="A58" s="876"/>
      <c r="B58" s="876"/>
      <c r="C58" s="876"/>
      <c r="D58" s="673" t="str">
        <f>'Financial Plan 1397'!B55</f>
        <v>Filling and cultivation of the plastic sacs</v>
      </c>
      <c r="E58" s="683" t="str">
        <f>'Financial Plan 1397'!C55</f>
        <v>Sacs</v>
      </c>
      <c r="F58" s="684">
        <f>'Financial Plan 1397'!D55</f>
        <v>114435.3</v>
      </c>
      <c r="G58" s="685">
        <f>'Financial Plan 1397'!F55</f>
        <v>1.6</v>
      </c>
      <c r="H58" s="686">
        <f>'Financial Plan 1397'!H55</f>
        <v>183096.48</v>
      </c>
      <c r="I58" s="687">
        <v>43160</v>
      </c>
      <c r="J58" s="687">
        <v>43456</v>
      </c>
      <c r="K58" s="666" t="s">
        <v>559</v>
      </c>
      <c r="L58" s="666">
        <v>9</v>
      </c>
      <c r="M58" s="689">
        <f>'Financial Plan 1397'!G55</f>
        <v>457.74119999999999</v>
      </c>
      <c r="N58" s="690">
        <f t="shared" si="8"/>
        <v>3204.1884</v>
      </c>
      <c r="O58" s="686"/>
    </row>
    <row r="59" spans="1:15" s="264" customFormat="1" ht="21.95" customHeight="1">
      <c r="A59" s="876"/>
      <c r="B59" s="876"/>
      <c r="C59" s="876"/>
      <c r="D59" s="673" t="str">
        <f>'Financial Plan 1397'!B56</f>
        <v xml:space="preserve">Replacing of death plants by the planted plastic sacs  </v>
      </c>
      <c r="E59" s="683" t="str">
        <f>'Financial Plan 1397'!C56</f>
        <v>NO</v>
      </c>
      <c r="F59" s="684">
        <f>'Financial Plan 1397'!D56</f>
        <v>38145.100000000006</v>
      </c>
      <c r="G59" s="685">
        <f>'Financial Plan 1397'!F56</f>
        <v>8</v>
      </c>
      <c r="H59" s="686">
        <f>'Financial Plan 1397'!H56</f>
        <v>305160.80000000005</v>
      </c>
      <c r="I59" s="687">
        <v>43160</v>
      </c>
      <c r="J59" s="687">
        <v>43456</v>
      </c>
      <c r="K59" s="666" t="s">
        <v>559</v>
      </c>
      <c r="L59" s="666">
        <v>9</v>
      </c>
      <c r="M59" s="689">
        <f>'Financial Plan 1397'!G56</f>
        <v>762.90200000000016</v>
      </c>
      <c r="N59" s="690">
        <f t="shared" si="8"/>
        <v>5340.3140000000012</v>
      </c>
      <c r="O59" s="686"/>
    </row>
    <row r="60" spans="1:15" s="264" customFormat="1" ht="21.95" customHeight="1">
      <c r="A60" s="876"/>
      <c r="B60" s="876"/>
      <c r="C60" s="876"/>
      <c r="D60" s="673" t="str">
        <f>'Financial Plan 1397'!B57</f>
        <v xml:space="preserve">cultivation of deffernt kind of sapplings </v>
      </c>
      <c r="E60" s="683" t="str">
        <f>'Financial Plan 1397'!C57</f>
        <v>NO</v>
      </c>
      <c r="F60" s="684">
        <f>'Financial Plan 1397'!D57</f>
        <v>104000</v>
      </c>
      <c r="G60" s="685">
        <f>'Financial Plan 1397'!F57</f>
        <v>8</v>
      </c>
      <c r="H60" s="686">
        <f>'Financial Plan 1397'!H57</f>
        <v>832000</v>
      </c>
      <c r="I60" s="687">
        <v>43160</v>
      </c>
      <c r="J60" s="687">
        <v>43456</v>
      </c>
      <c r="K60" s="666" t="s">
        <v>559</v>
      </c>
      <c r="L60" s="666">
        <v>9</v>
      </c>
      <c r="M60" s="689">
        <f>'Financial Plan 1397'!G57</f>
        <v>2080</v>
      </c>
      <c r="N60" s="690">
        <f t="shared" si="8"/>
        <v>14560</v>
      </c>
      <c r="O60" s="686"/>
    </row>
    <row r="61" spans="1:15" s="264" customFormat="1" ht="30.75" customHeight="1">
      <c r="A61" s="876"/>
      <c r="B61" s="876"/>
      <c r="C61" s="876"/>
      <c r="D61" s="673" t="str">
        <f>'Financial Plan 1397'!B58</f>
        <v xml:space="preserve">Irrigation of new  cultivated plants of autom season and repalced sapplings  for 2 times </v>
      </c>
      <c r="E61" s="683" t="str">
        <f>'Financial Plan 1397'!C58</f>
        <v>NO</v>
      </c>
      <c r="F61" s="684">
        <f>'Financial Plan 1397'!D58</f>
        <v>101679.09999999999</v>
      </c>
      <c r="G61" s="685">
        <f>'Financial Plan 1397'!F58</f>
        <v>1.6</v>
      </c>
      <c r="H61" s="686">
        <f>'Financial Plan 1397'!H58</f>
        <v>162686.56</v>
      </c>
      <c r="I61" s="687">
        <v>43160</v>
      </c>
      <c r="J61" s="687">
        <v>43456</v>
      </c>
      <c r="K61" s="666" t="s">
        <v>559</v>
      </c>
      <c r="L61" s="666">
        <v>9</v>
      </c>
      <c r="M61" s="689">
        <f>'Financial Plan 1397'!G58</f>
        <v>406.71639999999996</v>
      </c>
      <c r="N61" s="690">
        <f t="shared" si="8"/>
        <v>2847.0147999999999</v>
      </c>
      <c r="O61" s="686"/>
    </row>
    <row r="62" spans="1:15" s="264" customFormat="1" ht="21.95" customHeight="1">
      <c r="A62" s="876"/>
      <c r="B62" s="876"/>
      <c r="C62" s="876"/>
      <c r="D62" s="673" t="str">
        <f>'Financial Plan 1397'!B59</f>
        <v xml:space="preserve">Irrigation of cultivated plants by MAIL water tankers </v>
      </c>
      <c r="E62" s="683" t="str">
        <f>'Financial Plan 1397'!C59</f>
        <v>NO</v>
      </c>
      <c r="F62" s="684">
        <f>'Financial Plan 1397'!D59</f>
        <v>187846</v>
      </c>
      <c r="G62" s="685">
        <f>'Financial Plan 1397'!F59</f>
        <v>5.7142857142857144</v>
      </c>
      <c r="H62" s="686">
        <f>'Financial Plan 1397'!H59</f>
        <v>1073405.7142857141</v>
      </c>
      <c r="I62" s="687">
        <v>43160</v>
      </c>
      <c r="J62" s="687">
        <v>43456</v>
      </c>
      <c r="K62" s="666" t="s">
        <v>559</v>
      </c>
      <c r="L62" s="666">
        <v>9</v>
      </c>
      <c r="M62" s="689">
        <f>'Financial Plan 1397'!G59</f>
        <v>2683.5142857142855</v>
      </c>
      <c r="N62" s="690">
        <f t="shared" si="8"/>
        <v>18784.599999999999</v>
      </c>
      <c r="O62" s="686"/>
    </row>
    <row r="63" spans="1:15" s="110" customFormat="1" ht="22.5" customHeight="1">
      <c r="A63" s="883" t="s">
        <v>510</v>
      </c>
      <c r="B63" s="883"/>
      <c r="C63" s="883"/>
      <c r="D63" s="883"/>
      <c r="E63" s="883"/>
      <c r="F63" s="691"/>
      <c r="G63" s="691"/>
      <c r="H63" s="692">
        <f>SUM(H53:H62)</f>
        <v>16087338.954285717</v>
      </c>
      <c r="I63" s="691"/>
      <c r="J63" s="691"/>
      <c r="K63" s="691"/>
      <c r="L63" s="693">
        <f>SUM(L53:L59)</f>
        <v>54</v>
      </c>
      <c r="M63" s="692">
        <f>SUM(M53:M62)</f>
        <v>40218.347385714282</v>
      </c>
      <c r="N63" s="662">
        <f>SUM(N53:N62)</f>
        <v>281528.43170000002</v>
      </c>
      <c r="O63" s="692">
        <f>SUM(O53:O59)</f>
        <v>0</v>
      </c>
    </row>
    <row r="64" spans="1:15" s="110" customFormat="1" ht="48.75" customHeight="1">
      <c r="A64" s="671" t="s">
        <v>492</v>
      </c>
      <c r="B64" s="671" t="s">
        <v>478</v>
      </c>
      <c r="C64" s="671" t="s">
        <v>479</v>
      </c>
      <c r="D64" s="672" t="s">
        <v>480</v>
      </c>
      <c r="E64" s="621" t="s">
        <v>392</v>
      </c>
      <c r="F64" s="622" t="s">
        <v>481</v>
      </c>
      <c r="G64" s="622" t="s">
        <v>482</v>
      </c>
      <c r="H64" s="622" t="s">
        <v>483</v>
      </c>
      <c r="I64" s="623" t="s">
        <v>484</v>
      </c>
      <c r="J64" s="623" t="s">
        <v>485</v>
      </c>
      <c r="K64" s="624" t="s">
        <v>486</v>
      </c>
      <c r="L64" s="874" t="s">
        <v>487</v>
      </c>
      <c r="M64" s="874"/>
      <c r="N64" s="625" t="s">
        <v>488</v>
      </c>
      <c r="O64" s="626" t="s">
        <v>69</v>
      </c>
    </row>
    <row r="65" spans="1:15" ht="41.25" customHeight="1">
      <c r="A65" s="882" t="s">
        <v>519</v>
      </c>
      <c r="B65" s="882"/>
      <c r="C65" s="882"/>
      <c r="D65" s="882"/>
      <c r="E65" s="644"/>
      <c r="F65" s="645"/>
      <c r="G65" s="645" t="s">
        <v>177</v>
      </c>
      <c r="H65" s="645"/>
      <c r="I65" s="646"/>
      <c r="J65" s="646"/>
      <c r="K65" s="646"/>
      <c r="L65" s="663" t="s">
        <v>71</v>
      </c>
      <c r="M65" s="628" t="s">
        <v>508</v>
      </c>
      <c r="N65" s="664" t="s">
        <v>517</v>
      </c>
      <c r="O65" s="628"/>
    </row>
    <row r="66" spans="1:15" s="264" customFormat="1" ht="21.95" customHeight="1">
      <c r="A66" s="890" t="s">
        <v>489</v>
      </c>
      <c r="B66" s="890" t="s">
        <v>491</v>
      </c>
      <c r="C66" s="890" t="s">
        <v>490</v>
      </c>
      <c r="D66" s="694" t="str">
        <f>'Financial Plan 1397'!B62</f>
        <v xml:space="preserve">Out reach </v>
      </c>
      <c r="E66" s="694" t="str">
        <f>'Financial Plan 1397'!C62</f>
        <v>outreach tickets</v>
      </c>
      <c r="F66" s="684">
        <f>'Financial Plan 1397'!D62</f>
        <v>3000</v>
      </c>
      <c r="G66" s="695">
        <f>'Financial Plan 1397'!F62</f>
        <v>100</v>
      </c>
      <c r="H66" s="686">
        <f>'Financial Plan 1397'!H62</f>
        <v>300000</v>
      </c>
      <c r="I66" s="687">
        <v>43191</v>
      </c>
      <c r="J66" s="687">
        <v>43456</v>
      </c>
      <c r="K66" s="696"/>
      <c r="L66" s="697"/>
      <c r="M66" s="689"/>
      <c r="N66" s="690"/>
      <c r="O66" s="686"/>
    </row>
    <row r="67" spans="1:15" s="264" customFormat="1" ht="32.25" customHeight="1">
      <c r="A67" s="890"/>
      <c r="B67" s="890"/>
      <c r="C67" s="890"/>
      <c r="D67" s="694" t="str">
        <f>'Financial Plan 1397'!B63</f>
        <v xml:space="preserve">Purchasing of Spraying machine (Having Generator along with wheel and all accessories) </v>
      </c>
      <c r="E67" s="694" t="str">
        <f>'Financial Plan 1397'!C63</f>
        <v>NO</v>
      </c>
      <c r="F67" s="684">
        <f>'Financial Plan 1397'!D63</f>
        <v>2</v>
      </c>
      <c r="G67" s="695">
        <f>'Financial Plan 1397'!F63</f>
        <v>40000</v>
      </c>
      <c r="H67" s="686">
        <f>'Financial Plan 1397'!H63</f>
        <v>80000</v>
      </c>
      <c r="I67" s="687">
        <v>43191</v>
      </c>
      <c r="J67" s="687">
        <v>43456</v>
      </c>
      <c r="K67" s="696"/>
      <c r="L67" s="697"/>
      <c r="M67" s="689"/>
      <c r="N67" s="690"/>
      <c r="O67" s="686"/>
    </row>
    <row r="68" spans="1:15" s="264" customFormat="1" ht="21.95" customHeight="1">
      <c r="A68" s="890"/>
      <c r="B68" s="890"/>
      <c r="C68" s="890"/>
      <c r="D68" s="694" t="str">
        <f>'Financial Plan 1397'!B64</f>
        <v xml:space="preserve">Purchasing of pesticides /medicines for treatment of plants </v>
      </c>
      <c r="E68" s="694" t="str">
        <f>'Financial Plan 1397'!C64</f>
        <v>Liter</v>
      </c>
      <c r="F68" s="684">
        <f>'Financial Plan 1397'!D64</f>
        <v>185</v>
      </c>
      <c r="G68" s="695">
        <f>'Financial Plan 1397'!F64</f>
        <v>1000</v>
      </c>
      <c r="H68" s="686">
        <f>'Financial Plan 1397'!H64</f>
        <v>185000</v>
      </c>
      <c r="I68" s="687">
        <v>43191</v>
      </c>
      <c r="J68" s="687">
        <v>43456</v>
      </c>
      <c r="K68" s="696"/>
      <c r="L68" s="697"/>
      <c r="M68" s="689"/>
      <c r="N68" s="690"/>
      <c r="O68" s="686"/>
    </row>
    <row r="69" spans="1:15" s="264" customFormat="1" ht="21.95" customHeight="1">
      <c r="A69" s="890"/>
      <c r="B69" s="890"/>
      <c r="C69" s="890"/>
      <c r="D69" s="694" t="str">
        <f>'Financial Plan 1397'!B65</f>
        <v xml:space="preserve">Chemical Firtilizer (Urea abd DAP)  </v>
      </c>
      <c r="E69" s="694" t="str">
        <f>'Financial Plan 1397'!C65</f>
        <v>Bags</v>
      </c>
      <c r="F69" s="684">
        <f>'Financial Plan 1397'!D65</f>
        <v>30</v>
      </c>
      <c r="G69" s="695">
        <f>'Financial Plan 1397'!F65</f>
        <v>2000</v>
      </c>
      <c r="H69" s="686">
        <f>'Financial Plan 1397'!H65</f>
        <v>60000</v>
      </c>
      <c r="I69" s="687">
        <v>43191</v>
      </c>
      <c r="J69" s="687">
        <v>43456</v>
      </c>
      <c r="K69" s="696"/>
      <c r="L69" s="697"/>
      <c r="M69" s="689"/>
      <c r="N69" s="690"/>
      <c r="O69" s="686"/>
    </row>
    <row r="70" spans="1:15" s="264" customFormat="1" ht="21.95" customHeight="1">
      <c r="A70" s="890"/>
      <c r="B70" s="890"/>
      <c r="C70" s="890"/>
      <c r="D70" s="694" t="str">
        <f>'Financial Plan 1397'!B66</f>
        <v>Work equipment - Light - Wooden heater - Secissor</v>
      </c>
      <c r="E70" s="694" t="str">
        <f>'Financial Plan 1397'!C66</f>
        <v>kits</v>
      </c>
      <c r="F70" s="684">
        <f>'Financial Plan 1397'!D66</f>
        <v>1</v>
      </c>
      <c r="G70" s="695">
        <f>'Financial Plan 1397'!F66</f>
        <v>206500</v>
      </c>
      <c r="H70" s="686">
        <f>'Financial Plan 1397'!H66</f>
        <v>206500</v>
      </c>
      <c r="I70" s="687">
        <v>43191</v>
      </c>
      <c r="J70" s="687">
        <v>43456</v>
      </c>
      <c r="K70" s="696"/>
      <c r="L70" s="697"/>
      <c r="M70" s="689"/>
      <c r="N70" s="690"/>
      <c r="O70" s="686"/>
    </row>
    <row r="71" spans="1:15" s="264" customFormat="1" ht="21.95" customHeight="1">
      <c r="A71" s="890"/>
      <c r="B71" s="890"/>
      <c r="C71" s="890"/>
      <c r="D71" s="694" t="str">
        <f>'Financial Plan 1397'!B67</f>
        <v>Office furniture</v>
      </c>
      <c r="E71" s="694" t="str">
        <f>'Financial Plan 1397'!C67</f>
        <v>NO</v>
      </c>
      <c r="F71" s="684">
        <f>'Financial Plan 1397'!D67</f>
        <v>6</v>
      </c>
      <c r="G71" s="695">
        <f>'Financial Plan 1397'!F67</f>
        <v>5000</v>
      </c>
      <c r="H71" s="686">
        <f>'Financial Plan 1397'!H67</f>
        <v>30000</v>
      </c>
      <c r="I71" s="687">
        <v>43191</v>
      </c>
      <c r="J71" s="687">
        <v>43456</v>
      </c>
      <c r="K71" s="696"/>
      <c r="L71" s="697"/>
      <c r="M71" s="689"/>
      <c r="N71" s="690"/>
      <c r="O71" s="686"/>
    </row>
    <row r="72" spans="1:15" s="264" customFormat="1" ht="21.95" customHeight="1">
      <c r="A72" s="890"/>
      <c r="B72" s="890"/>
      <c r="C72" s="890"/>
      <c r="D72" s="694" t="str">
        <f>'Financial Plan 1397'!B68</f>
        <v>Service Charge of DA AFGJAN BRESHNA SHERKAT</v>
      </c>
      <c r="E72" s="694">
        <f>'Financial Plan 1397'!C68</f>
        <v>0</v>
      </c>
      <c r="F72" s="684">
        <f>'Financial Plan 1397'!D68</f>
        <v>1</v>
      </c>
      <c r="G72" s="695">
        <f>'Financial Plan 1397'!F68</f>
        <v>459999.83</v>
      </c>
      <c r="H72" s="686">
        <f>'Financial Plan 1397'!H68</f>
        <v>459999.83</v>
      </c>
      <c r="I72" s="687">
        <v>43191</v>
      </c>
      <c r="J72" s="687">
        <v>43456</v>
      </c>
      <c r="K72" s="696"/>
      <c r="L72" s="697"/>
      <c r="M72" s="689"/>
      <c r="N72" s="690"/>
      <c r="O72" s="686"/>
    </row>
    <row r="73" spans="1:15" s="264" customFormat="1" ht="33.75" customHeight="1">
      <c r="A73" s="890"/>
      <c r="B73" s="890"/>
      <c r="C73" s="890"/>
      <c r="D73" s="694" t="str">
        <f>'Financial Plan 1397'!B69</f>
        <v xml:space="preserve">Procure and installation of Electricity tower's and remained equipment from the last year </v>
      </c>
      <c r="E73" s="694">
        <f>'Financial Plan 1397'!C69</f>
        <v>0</v>
      </c>
      <c r="F73" s="684">
        <f>'Financial Plan 1397'!D69</f>
        <v>1</v>
      </c>
      <c r="G73" s="695">
        <f>'Financial Plan 1397'!F69</f>
        <v>2500000</v>
      </c>
      <c r="H73" s="686">
        <f>'Financial Plan 1397'!H69</f>
        <v>2500000</v>
      </c>
      <c r="I73" s="687">
        <v>43191</v>
      </c>
      <c r="J73" s="687">
        <v>43456</v>
      </c>
      <c r="K73" s="696"/>
      <c r="L73" s="697"/>
      <c r="M73" s="689"/>
      <c r="N73" s="690"/>
      <c r="O73" s="686"/>
    </row>
    <row r="74" spans="1:15" s="264" customFormat="1" ht="21.95" customHeight="1">
      <c r="A74" s="890"/>
      <c r="B74" s="890"/>
      <c r="C74" s="890"/>
      <c r="D74" s="694" t="str">
        <f>'Financial Plan 1397'!B70</f>
        <v>Payment of 15%  water tankering from the last year</v>
      </c>
      <c r="E74" s="694">
        <f>'Financial Plan 1397'!C70</f>
        <v>0</v>
      </c>
      <c r="F74" s="684">
        <f>'Financial Plan 1397'!D70</f>
        <v>1</v>
      </c>
      <c r="G74" s="695">
        <f>'Financial Plan 1397'!F70</f>
        <v>807788</v>
      </c>
      <c r="H74" s="686">
        <f>'Financial Plan 1397'!H70</f>
        <v>807788</v>
      </c>
      <c r="I74" s="687">
        <v>43191</v>
      </c>
      <c r="J74" s="687">
        <v>43456</v>
      </c>
      <c r="K74" s="696"/>
      <c r="L74" s="697"/>
      <c r="M74" s="689"/>
      <c r="N74" s="690"/>
      <c r="O74" s="686"/>
    </row>
    <row r="75" spans="1:15" s="264" customFormat="1" ht="30.75" customHeight="1">
      <c r="A75" s="890"/>
      <c r="B75" s="890"/>
      <c r="C75" s="890"/>
      <c r="D75" s="694" t="str">
        <f>'Financial Plan 1397'!B71</f>
        <v xml:space="preserve">Puchasing of 2 kg plastic sacs for seeding , packing tools (Thead - Bags  ..etc ) for transfering of  sapllings from nursery to the coverd area </v>
      </c>
      <c r="E75" s="694">
        <f>'Financial Plan 1397'!C71</f>
        <v>0</v>
      </c>
      <c r="F75" s="684">
        <f>'Financial Plan 1397'!D71</f>
        <v>1</v>
      </c>
      <c r="G75" s="695">
        <f>'Financial Plan 1397'!F71</f>
        <v>1825000</v>
      </c>
      <c r="H75" s="686">
        <f>'Financial Plan 1397'!H71</f>
        <v>1825000</v>
      </c>
      <c r="I75" s="687">
        <v>43191</v>
      </c>
      <c r="J75" s="687">
        <v>43456</v>
      </c>
      <c r="K75" s="696"/>
      <c r="L75" s="697"/>
      <c r="M75" s="689"/>
      <c r="N75" s="690"/>
      <c r="O75" s="686"/>
    </row>
    <row r="76" spans="1:15" s="264" customFormat="1" ht="21.95" customHeight="1">
      <c r="A76" s="890"/>
      <c r="B76" s="890"/>
      <c r="C76" s="890"/>
      <c r="D76" s="694" t="str">
        <f>'Financial Plan 1397'!B72</f>
        <v>120 Kva power generator with all accessories</v>
      </c>
      <c r="E76" s="694">
        <f>'Financial Plan 1397'!C72</f>
        <v>0</v>
      </c>
      <c r="F76" s="684">
        <f>'Financial Plan 1397'!D72</f>
        <v>1</v>
      </c>
      <c r="G76" s="695">
        <f>'Financial Plan 1397'!F72</f>
        <v>2380000</v>
      </c>
      <c r="H76" s="686">
        <f>'Financial Plan 1397'!H72</f>
        <v>2380000</v>
      </c>
      <c r="I76" s="687">
        <v>43191</v>
      </c>
      <c r="J76" s="687">
        <v>43456</v>
      </c>
      <c r="K76" s="696"/>
      <c r="L76" s="697"/>
      <c r="M76" s="689"/>
      <c r="N76" s="690"/>
      <c r="O76" s="686"/>
    </row>
    <row r="77" spans="1:15" s="264" customFormat="1" ht="34.5" customHeight="1">
      <c r="A77" s="890"/>
      <c r="B77" s="890"/>
      <c r="C77" s="890"/>
      <c r="D77" s="694" t="str">
        <f>'Financial Plan 1397'!B73</f>
        <v>Taps and pips for the operation and maintanance of the irrigation networks</v>
      </c>
      <c r="E77" s="694">
        <f>'Financial Plan 1397'!C73</f>
        <v>0</v>
      </c>
      <c r="F77" s="684">
        <f>'Financial Plan 1397'!D73</f>
        <v>1</v>
      </c>
      <c r="G77" s="695">
        <f>'Financial Plan 1397'!F73</f>
        <v>150000</v>
      </c>
      <c r="H77" s="686">
        <f>'Financial Plan 1397'!H73</f>
        <v>150000</v>
      </c>
      <c r="I77" s="687">
        <v>43191</v>
      </c>
      <c r="J77" s="687">
        <v>43456</v>
      </c>
      <c r="K77" s="696"/>
      <c r="L77" s="697"/>
      <c r="M77" s="689"/>
      <c r="N77" s="690"/>
      <c r="O77" s="686"/>
    </row>
    <row r="78" spans="1:15" s="264" customFormat="1" ht="21.95" customHeight="1">
      <c r="A78" s="890"/>
      <c r="B78" s="890"/>
      <c r="C78" s="890"/>
      <c r="D78" s="694" t="str">
        <f>'Financial Plan 1397'!B74</f>
        <v>Miscellanous</v>
      </c>
      <c r="E78" s="694">
        <f>'Financial Plan 1397'!C74</f>
        <v>0</v>
      </c>
      <c r="F78" s="684">
        <f>'Financial Plan 1397'!D74</f>
        <v>1</v>
      </c>
      <c r="G78" s="695">
        <f>'Financial Plan 1397'!F74</f>
        <v>2972656.38</v>
      </c>
      <c r="H78" s="686">
        <f>'Financial Plan 1397'!H74</f>
        <v>2972656.38</v>
      </c>
      <c r="I78" s="687">
        <v>43191</v>
      </c>
      <c r="J78" s="687">
        <v>43456</v>
      </c>
      <c r="K78" s="696"/>
      <c r="L78" s="697"/>
      <c r="M78" s="689"/>
      <c r="N78" s="690"/>
      <c r="O78" s="686"/>
    </row>
    <row r="79" spans="1:15" ht="30" customHeight="1">
      <c r="A79" s="883" t="s">
        <v>510</v>
      </c>
      <c r="B79" s="883"/>
      <c r="C79" s="883"/>
      <c r="D79" s="883"/>
      <c r="E79" s="883"/>
      <c r="F79" s="691"/>
      <c r="G79" s="691"/>
      <c r="H79" s="692">
        <f>SUM(H66:H78)</f>
        <v>11956944.210000001</v>
      </c>
      <c r="I79" s="691"/>
      <c r="J79" s="691"/>
      <c r="K79" s="691"/>
      <c r="L79" s="692">
        <f>SUM(L66:L78)</f>
        <v>0</v>
      </c>
      <c r="M79" s="692">
        <f>SUM(M66:M78)</f>
        <v>0</v>
      </c>
      <c r="N79" s="662">
        <f>SUM(N66:N78)</f>
        <v>0</v>
      </c>
      <c r="O79" s="692">
        <f>SUM(O66:O78)</f>
        <v>0</v>
      </c>
    </row>
    <row r="80" spans="1:15" ht="30" customHeight="1">
      <c r="A80" s="888" t="s">
        <v>521</v>
      </c>
      <c r="B80" s="888"/>
      <c r="C80" s="888"/>
      <c r="D80" s="888"/>
      <c r="E80" s="698"/>
      <c r="F80" s="698"/>
      <c r="G80" s="698"/>
      <c r="H80" s="699">
        <f>SUM(H11+H29+H38+H50+H63+H79)</f>
        <v>136660799.99761903</v>
      </c>
      <c r="I80" s="700"/>
      <c r="J80" s="699">
        <f>SUM(J11+J29+J38+J50+J79)</f>
        <v>0</v>
      </c>
      <c r="K80" s="699">
        <f>SUM(K11+K29+K38+K50+K79)</f>
        <v>0</v>
      </c>
      <c r="L80" s="699">
        <f>SUM(L11+L29+L38+L50+L79+L63)</f>
        <v>384</v>
      </c>
      <c r="M80" s="699">
        <f>SUM(M11+M29+M38+M50+M79+M63)</f>
        <v>193560.18071904761</v>
      </c>
      <c r="N80" s="699">
        <f>SUM(N11+N29+N38+N50+N79+N63)</f>
        <v>1354921.2650333336</v>
      </c>
      <c r="O80" s="699">
        <f>SUM(O11+O29+O38+O50+O79)</f>
        <v>0</v>
      </c>
    </row>
    <row r="81" spans="1:15" s="110" customFormat="1" ht="30" customHeight="1">
      <c r="A81" s="889" t="s">
        <v>475</v>
      </c>
      <c r="B81" s="889"/>
      <c r="C81" s="889"/>
      <c r="D81" s="889"/>
      <c r="E81" s="701"/>
      <c r="F81" s="701"/>
      <c r="G81" s="701"/>
      <c r="H81" s="702">
        <f>H80/68.34</f>
        <v>1999719.0517649844</v>
      </c>
      <c r="I81" s="702"/>
      <c r="J81" s="703"/>
      <c r="K81" s="703"/>
      <c r="L81" s="703"/>
      <c r="M81" s="703"/>
      <c r="N81" s="703"/>
      <c r="O81" s="703"/>
    </row>
    <row r="82" spans="1:15" s="425" customFormat="1" ht="30.75" customHeight="1">
      <c r="A82" s="892" t="s">
        <v>546</v>
      </c>
      <c r="B82" s="892"/>
      <c r="C82" s="892"/>
      <c r="D82" s="886" t="s">
        <v>547</v>
      </c>
      <c r="E82" s="886"/>
      <c r="F82" s="704"/>
      <c r="G82" s="705" t="s">
        <v>467</v>
      </c>
      <c r="H82" s="705"/>
      <c r="I82" s="706"/>
      <c r="J82" s="705" t="s">
        <v>548</v>
      </c>
      <c r="K82" s="705" t="s">
        <v>548</v>
      </c>
      <c r="L82" s="705"/>
      <c r="M82" s="705" t="s">
        <v>560</v>
      </c>
      <c r="N82" s="886"/>
      <c r="O82" s="886"/>
    </row>
    <row r="83" spans="1:15" s="425" customFormat="1" ht="18.75">
      <c r="A83" s="893" t="s">
        <v>465</v>
      </c>
      <c r="B83" s="893"/>
      <c r="C83" s="893"/>
      <c r="D83" s="887" t="s">
        <v>466</v>
      </c>
      <c r="E83" s="887"/>
      <c r="F83" s="895" t="s">
        <v>468</v>
      </c>
      <c r="G83" s="895"/>
      <c r="H83" s="895"/>
      <c r="I83" s="706"/>
      <c r="J83" s="706" t="s">
        <v>549</v>
      </c>
      <c r="K83" s="706"/>
      <c r="L83" s="706"/>
      <c r="M83" s="898" t="s">
        <v>551</v>
      </c>
      <c r="N83" s="898"/>
      <c r="O83" s="898"/>
    </row>
    <row r="84" spans="1:15" s="425" customFormat="1" ht="40.5" customHeight="1">
      <c r="A84" s="894" t="s">
        <v>556</v>
      </c>
      <c r="B84" s="894"/>
      <c r="C84" s="894"/>
      <c r="D84" s="896" t="s">
        <v>476</v>
      </c>
      <c r="E84" s="896"/>
      <c r="F84" s="896" t="s">
        <v>469</v>
      </c>
      <c r="G84" s="896"/>
      <c r="H84" s="896"/>
      <c r="I84" s="708"/>
      <c r="J84" s="709" t="s">
        <v>550</v>
      </c>
      <c r="K84" s="709"/>
      <c r="L84" s="709"/>
      <c r="M84" s="899" t="s">
        <v>552</v>
      </c>
      <c r="N84" s="899"/>
      <c r="O84" s="899"/>
    </row>
    <row r="85" spans="1:15" s="433" customFormat="1" ht="18.75">
      <c r="A85" s="710"/>
      <c r="B85" s="711"/>
      <c r="C85" s="712"/>
      <c r="D85" s="713"/>
      <c r="E85" s="712"/>
      <c r="F85" s="896" t="s">
        <v>470</v>
      </c>
      <c r="G85" s="896"/>
      <c r="H85" s="896"/>
      <c r="I85" s="714"/>
      <c r="J85" s="715"/>
      <c r="K85" s="715"/>
      <c r="L85" s="707"/>
      <c r="M85" s="716"/>
      <c r="N85" s="899"/>
      <c r="O85" s="899"/>
    </row>
    <row r="86" spans="1:15" s="433" customFormat="1" ht="18.75">
      <c r="A86" s="717"/>
      <c r="B86" s="717"/>
      <c r="C86" s="717"/>
      <c r="D86" s="717"/>
      <c r="E86" s="717"/>
      <c r="F86" s="897" t="s">
        <v>471</v>
      </c>
      <c r="G86" s="897"/>
      <c r="H86" s="897"/>
      <c r="I86" s="717"/>
      <c r="J86" s="718"/>
      <c r="K86" s="718"/>
      <c r="L86" s="719"/>
      <c r="M86" s="720"/>
      <c r="N86" s="899"/>
      <c r="O86" s="899"/>
    </row>
    <row r="87" spans="1:15" s="264" customFormat="1" ht="18.75">
      <c r="A87" s="270"/>
      <c r="B87" s="270"/>
      <c r="C87" s="270"/>
      <c r="D87" s="270"/>
      <c r="E87" s="270"/>
      <c r="F87" s="270"/>
      <c r="G87" s="270"/>
      <c r="H87" s="270"/>
      <c r="I87" s="270"/>
      <c r="N87" s="849"/>
      <c r="O87" s="849"/>
    </row>
    <row r="88" spans="1:15" s="425" customFormat="1" ht="29.25" customHeight="1">
      <c r="A88" s="270"/>
      <c r="B88" s="270"/>
      <c r="C88" s="270"/>
      <c r="D88" s="270"/>
      <c r="E88" s="270"/>
      <c r="F88" s="270"/>
      <c r="G88" s="270"/>
      <c r="H88" s="270"/>
      <c r="I88" s="270"/>
      <c r="J88" s="420"/>
      <c r="K88" s="244"/>
      <c r="L88" s="833" t="s">
        <v>472</v>
      </c>
      <c r="M88" s="833"/>
      <c r="N88" s="833"/>
      <c r="O88" s="422"/>
    </row>
    <row r="89" spans="1:15" s="425" customFormat="1" ht="40.5" customHeight="1">
      <c r="A89" s="417"/>
      <c r="B89" s="543"/>
      <c r="C89" s="543"/>
      <c r="D89" s="543"/>
      <c r="E89" s="269"/>
      <c r="F89" s="269"/>
      <c r="G89" s="271"/>
      <c r="H89" s="271"/>
      <c r="I89" s="457"/>
      <c r="J89" s="455"/>
      <c r="K89" s="455"/>
      <c r="L89" s="891" t="s">
        <v>561</v>
      </c>
      <c r="M89" s="833"/>
      <c r="N89" s="833"/>
      <c r="O89" s="833"/>
    </row>
    <row r="90" spans="1:15" ht="56.25" customHeight="1">
      <c r="A90" s="447"/>
      <c r="B90" s="448"/>
      <c r="C90" s="415"/>
      <c r="D90" s="415"/>
      <c r="E90" s="269"/>
      <c r="F90" s="269"/>
      <c r="G90" s="39"/>
      <c r="H90" s="324"/>
      <c r="I90" s="384"/>
      <c r="J90" s="324"/>
      <c r="K90" s="39"/>
      <c r="L90" s="130"/>
      <c r="M90" s="128"/>
      <c r="N90" s="87"/>
      <c r="O90" s="86"/>
    </row>
    <row r="91" spans="1:15" ht="28.5" customHeight="1">
      <c r="A91" s="326"/>
      <c r="B91" s="449"/>
      <c r="C91" s="326"/>
      <c r="D91" s="326"/>
      <c r="E91" s="244"/>
      <c r="F91" s="244"/>
      <c r="G91" s="271"/>
      <c r="H91" s="325"/>
      <c r="I91" s="271"/>
      <c r="J91" s="325"/>
      <c r="K91" s="323"/>
      <c r="L91" s="129"/>
      <c r="M91" s="129"/>
      <c r="N91" s="323"/>
    </row>
  </sheetData>
  <mergeCells count="53">
    <mergeCell ref="L88:N88"/>
    <mergeCell ref="L89:O89"/>
    <mergeCell ref="N87:O87"/>
    <mergeCell ref="A82:C82"/>
    <mergeCell ref="A83:C83"/>
    <mergeCell ref="A84:C84"/>
    <mergeCell ref="F83:H83"/>
    <mergeCell ref="F84:H84"/>
    <mergeCell ref="F85:H85"/>
    <mergeCell ref="F86:H86"/>
    <mergeCell ref="M83:O83"/>
    <mergeCell ref="M84:O84"/>
    <mergeCell ref="D84:E84"/>
    <mergeCell ref="N85:O85"/>
    <mergeCell ref="N86:O86"/>
    <mergeCell ref="D82:E82"/>
    <mergeCell ref="N82:O82"/>
    <mergeCell ref="D83:E83"/>
    <mergeCell ref="L39:M39"/>
    <mergeCell ref="L51:M51"/>
    <mergeCell ref="L64:M64"/>
    <mergeCell ref="A80:D80"/>
    <mergeCell ref="A79:E79"/>
    <mergeCell ref="A53:A62"/>
    <mergeCell ref="B53:B62"/>
    <mergeCell ref="C53:C62"/>
    <mergeCell ref="A81:D81"/>
    <mergeCell ref="A50:E50"/>
    <mergeCell ref="C66:C78"/>
    <mergeCell ref="B66:B78"/>
    <mergeCell ref="A66:A78"/>
    <mergeCell ref="A65:D65"/>
    <mergeCell ref="A52:D52"/>
    <mergeCell ref="A63:E63"/>
    <mergeCell ref="A30:D30"/>
    <mergeCell ref="A29:D29"/>
    <mergeCell ref="A41:A49"/>
    <mergeCell ref="B41:B49"/>
    <mergeCell ref="C41:C49"/>
    <mergeCell ref="C14:C28"/>
    <mergeCell ref="B14:B28"/>
    <mergeCell ref="A14:A28"/>
    <mergeCell ref="A31:A37"/>
    <mergeCell ref="A40:D40"/>
    <mergeCell ref="A38:D38"/>
    <mergeCell ref="C31:C37"/>
    <mergeCell ref="B31:B37"/>
    <mergeCell ref="A1:O1"/>
    <mergeCell ref="A3:D3"/>
    <mergeCell ref="L2:M2"/>
    <mergeCell ref="A11:D11"/>
    <mergeCell ref="A13:D13"/>
    <mergeCell ref="L12:M12"/>
  </mergeCells>
  <printOptions horizontalCentered="1"/>
  <pageMargins left="0.25" right="0.25" top="0.32" bottom="0.21" header="0.13257575757575801" footer="0.17"/>
  <pageSetup scale="42" orientation="landscape" r:id="rId1"/>
  <rowBreaks count="1" manualBreakCount="1">
    <brk id="50" max="14" man="1"/>
  </rowBreaks>
  <ignoredErrors>
    <ignoredError sqref="H11" formula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R87"/>
  <sheetViews>
    <sheetView showGridLines="0" view="pageBreakPreview" zoomScale="80" zoomScaleNormal="40" zoomScaleSheetLayoutView="80" zoomScalePageLayoutView="55" workbookViewId="0">
      <selection activeCell="A9" sqref="A9"/>
    </sheetView>
  </sheetViews>
  <sheetFormatPr defaultColWidth="9.125" defaultRowHeight="15"/>
  <cols>
    <col min="1" max="1" width="8.125" style="264" customWidth="1"/>
    <col min="2" max="2" width="55.375" style="401" customWidth="1"/>
    <col min="3" max="3" width="11.25" style="308" customWidth="1"/>
    <col min="4" max="4" width="18.875" style="416" customWidth="1"/>
    <col min="5" max="5" width="12.375" style="264" bestFit="1" customWidth="1"/>
    <col min="6" max="6" width="15" style="264" bestFit="1" customWidth="1"/>
    <col min="7" max="7" width="14.875" style="264" customWidth="1"/>
    <col min="8" max="8" width="13.875" style="264" bestFit="1" customWidth="1"/>
    <col min="9" max="9" width="15.25" style="264" customWidth="1"/>
    <col min="10" max="10" width="13.875" style="264" bestFit="1" customWidth="1"/>
    <col min="11" max="11" width="14.375" style="264" customWidth="1"/>
    <col min="12" max="12" width="14" style="264" customWidth="1"/>
    <col min="13" max="13" width="12.75" style="264" customWidth="1"/>
    <col min="14" max="14" width="13.25" style="264" customWidth="1"/>
    <col min="15" max="15" width="13.875" style="264" bestFit="1" customWidth="1"/>
    <col min="16" max="16" width="13" style="264" bestFit="1" customWidth="1"/>
    <col min="17" max="17" width="15.25" style="264" customWidth="1"/>
    <col min="18" max="18" width="9.125" style="264"/>
    <col min="19" max="19" width="14.625" style="264" customWidth="1"/>
    <col min="20" max="20" width="12.875" style="264" customWidth="1"/>
    <col min="21" max="21" width="12.375" style="264" customWidth="1"/>
    <col min="22" max="22" width="13.625" style="264" customWidth="1"/>
    <col min="23" max="16384" width="9.125" style="264"/>
  </cols>
  <sheetData>
    <row r="1" spans="1:17" s="300" customFormat="1" ht="19.5" thickBot="1">
      <c r="A1" s="906" t="s">
        <v>396</v>
      </c>
      <c r="B1" s="907"/>
      <c r="C1" s="907"/>
      <c r="D1" s="907"/>
      <c r="E1" s="907"/>
      <c r="F1" s="907"/>
      <c r="G1" s="907"/>
      <c r="H1" s="907"/>
      <c r="I1" s="907"/>
      <c r="J1" s="907"/>
      <c r="K1" s="907"/>
      <c r="L1" s="907"/>
      <c r="M1" s="907"/>
      <c r="N1" s="907"/>
      <c r="O1" s="907"/>
      <c r="P1" s="907"/>
      <c r="Q1" s="908"/>
    </row>
    <row r="2" spans="1:17" s="300" customFormat="1" ht="19.5" thickBot="1">
      <c r="A2" s="906" t="s">
        <v>397</v>
      </c>
      <c r="B2" s="907"/>
      <c r="C2" s="907"/>
      <c r="D2" s="907"/>
      <c r="E2" s="907"/>
      <c r="F2" s="907"/>
      <c r="G2" s="907"/>
      <c r="H2" s="907"/>
      <c r="I2" s="907"/>
      <c r="J2" s="907"/>
      <c r="K2" s="907"/>
      <c r="L2" s="907"/>
      <c r="M2" s="907"/>
      <c r="N2" s="907"/>
      <c r="O2" s="907"/>
      <c r="P2" s="907"/>
      <c r="Q2" s="908"/>
    </row>
    <row r="3" spans="1:17" s="300" customFormat="1" ht="19.5" thickBot="1">
      <c r="A3" s="903" t="s">
        <v>398</v>
      </c>
      <c r="B3" s="904"/>
      <c r="C3" s="904"/>
      <c r="D3" s="904"/>
      <c r="E3" s="904"/>
      <c r="F3" s="904"/>
      <c r="G3" s="904"/>
      <c r="H3" s="904"/>
      <c r="I3" s="904"/>
      <c r="J3" s="904"/>
      <c r="K3" s="904"/>
      <c r="L3" s="904"/>
      <c r="M3" s="904"/>
      <c r="N3" s="904"/>
      <c r="O3" s="904"/>
      <c r="P3" s="904"/>
      <c r="Q3" s="905"/>
    </row>
    <row r="4" spans="1:17" s="300" customFormat="1" ht="19.5" thickBot="1">
      <c r="A4" s="320"/>
      <c r="B4" s="400"/>
      <c r="C4" s="321"/>
      <c r="D4" s="402"/>
      <c r="E4" s="907" t="s">
        <v>399</v>
      </c>
      <c r="F4" s="907"/>
      <c r="G4" s="907"/>
      <c r="H4" s="907"/>
      <c r="I4" s="907"/>
      <c r="J4" s="907"/>
      <c r="K4" s="322"/>
      <c r="L4" s="907" t="s">
        <v>557</v>
      </c>
      <c r="M4" s="907"/>
      <c r="N4" s="907"/>
      <c r="O4" s="322"/>
      <c r="P4" s="322"/>
      <c r="Q4" s="322"/>
    </row>
    <row r="5" spans="1:17" ht="20.25">
      <c r="A5" s="900" t="s">
        <v>558</v>
      </c>
      <c r="B5" s="901"/>
      <c r="C5" s="901"/>
      <c r="D5" s="901"/>
      <c r="E5" s="901"/>
      <c r="F5" s="901"/>
      <c r="G5" s="901"/>
      <c r="H5" s="901"/>
      <c r="I5" s="901"/>
      <c r="J5" s="901"/>
      <c r="K5" s="901"/>
      <c r="L5" s="901"/>
      <c r="M5" s="901"/>
      <c r="N5" s="901"/>
      <c r="O5" s="901"/>
      <c r="P5" s="901"/>
      <c r="Q5" s="902"/>
    </row>
    <row r="6" spans="1:17" s="273" customFormat="1" ht="15.75">
      <c r="A6" s="303" t="s">
        <v>393</v>
      </c>
      <c r="B6" s="304" t="s">
        <v>391</v>
      </c>
      <c r="C6" s="435" t="s">
        <v>392</v>
      </c>
      <c r="D6" s="436" t="s">
        <v>395</v>
      </c>
      <c r="E6" s="435" t="s">
        <v>400</v>
      </c>
      <c r="F6" s="435" t="s">
        <v>401</v>
      </c>
      <c r="G6" s="435" t="s">
        <v>402</v>
      </c>
      <c r="H6" s="435" t="s">
        <v>403</v>
      </c>
      <c r="I6" s="435" t="s">
        <v>404</v>
      </c>
      <c r="J6" s="435" t="s">
        <v>405</v>
      </c>
      <c r="K6" s="435" t="s">
        <v>406</v>
      </c>
      <c r="L6" s="435" t="s">
        <v>407</v>
      </c>
      <c r="M6" s="435" t="s">
        <v>408</v>
      </c>
      <c r="N6" s="435" t="s">
        <v>409</v>
      </c>
      <c r="O6" s="435" t="s">
        <v>410</v>
      </c>
      <c r="P6" s="435" t="s">
        <v>411</v>
      </c>
      <c r="Q6" s="435" t="s">
        <v>69</v>
      </c>
    </row>
    <row r="7" spans="1:17" s="277" customFormat="1" ht="15.75">
      <c r="A7" s="437" t="s">
        <v>394</v>
      </c>
      <c r="B7" s="437"/>
      <c r="C7" s="305"/>
      <c r="D7" s="403" t="s">
        <v>177</v>
      </c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</row>
    <row r="8" spans="1:17" s="290" customFormat="1" ht="18.75" customHeight="1">
      <c r="A8" s="293">
        <v>1</v>
      </c>
      <c r="B8" s="438" t="str">
        <f>'Financial Plan 1397'!B4</f>
        <v xml:space="preserve">payment of 20% of Qasaba irregation network </v>
      </c>
      <c r="C8" s="616" t="str">
        <f>'Financial Plan 1397'!C4</f>
        <v>Ha</v>
      </c>
      <c r="D8" s="404">
        <f>'Financial Plan 1397'!H4</f>
        <v>2406125</v>
      </c>
      <c r="E8" s="131"/>
      <c r="F8" s="131"/>
      <c r="G8" s="131">
        <f>D8</f>
        <v>2406125</v>
      </c>
      <c r="H8" s="131"/>
      <c r="I8" s="131"/>
      <c r="J8" s="131"/>
      <c r="K8" s="131"/>
      <c r="L8" s="131"/>
      <c r="M8" s="131"/>
      <c r="N8" s="131"/>
      <c r="O8" s="131"/>
      <c r="P8" s="131"/>
      <c r="Q8" s="131">
        <f t="shared" ref="Q8:Q15" si="0">SUM(E8:P8)-D8</f>
        <v>0</v>
      </c>
    </row>
    <row r="9" spans="1:17" s="290" customFormat="1" ht="18.75" customHeight="1">
      <c r="A9" s="293">
        <v>2</v>
      </c>
      <c r="B9" s="438" t="str">
        <f>'Financial Plan 1397'!B5</f>
        <v xml:space="preserve">Payment of 70% of Shirdarwaza to Benihesar irregation network </v>
      </c>
      <c r="C9" s="616" t="str">
        <f>'Financial Plan 1397'!C5</f>
        <v>Ha</v>
      </c>
      <c r="D9" s="404">
        <f>'Financial Plan 1397'!H5</f>
        <v>18348149</v>
      </c>
      <c r="E9" s="131"/>
      <c r="F9" s="131"/>
      <c r="G9" s="131"/>
      <c r="H9" s="131">
        <f>D9</f>
        <v>18348149</v>
      </c>
      <c r="I9" s="131"/>
      <c r="J9" s="131"/>
      <c r="K9" s="131"/>
      <c r="L9" s="131"/>
      <c r="M9" s="131"/>
      <c r="N9" s="131"/>
      <c r="O9" s="131"/>
      <c r="P9" s="131"/>
      <c r="Q9" s="131"/>
    </row>
    <row r="10" spans="1:17" s="290" customFormat="1" ht="29.25" customHeight="1">
      <c r="A10" s="293">
        <v>3</v>
      </c>
      <c r="B10" s="438" t="str">
        <f>'Financial Plan 1397'!B6</f>
        <v>establishment of new irregation network in surrounding of Munishi Mirghulam mountain</v>
      </c>
      <c r="C10" s="616" t="str">
        <f>'Financial Plan 1397'!C6</f>
        <v>Ha</v>
      </c>
      <c r="D10" s="404">
        <f>'Financial Plan 1397'!H6</f>
        <v>18000000</v>
      </c>
      <c r="E10" s="131"/>
      <c r="F10" s="131"/>
      <c r="G10" s="131"/>
      <c r="H10" s="131"/>
      <c r="I10" s="131">
        <f>D10/100*30</f>
        <v>5400000</v>
      </c>
      <c r="J10" s="131"/>
      <c r="K10" s="131">
        <f>D10/100*50</f>
        <v>9000000</v>
      </c>
      <c r="L10" s="131">
        <f>D10/100*20</f>
        <v>3600000</v>
      </c>
      <c r="M10" s="131"/>
      <c r="N10" s="131"/>
      <c r="O10" s="131"/>
      <c r="P10" s="131"/>
      <c r="Q10" s="131"/>
    </row>
    <row r="11" spans="1:17" s="290" customFormat="1" ht="18" customHeight="1">
      <c r="A11" s="293">
        <v>4</v>
      </c>
      <c r="B11" s="438" t="str">
        <f>'Financial Plan 1397'!B7</f>
        <v>establishment of new irregation network in Tangi Gharow</v>
      </c>
      <c r="C11" s="616" t="str">
        <f>'Financial Plan 1397'!C7</f>
        <v>Ha</v>
      </c>
      <c r="D11" s="404">
        <f>'Financial Plan 1397'!H7</f>
        <v>12660367.5</v>
      </c>
      <c r="E11" s="131"/>
      <c r="F11" s="131"/>
      <c r="G11" s="131"/>
      <c r="H11" s="131"/>
      <c r="I11" s="131">
        <f>D11/100*30</f>
        <v>3798110.25</v>
      </c>
      <c r="J11" s="131"/>
      <c r="K11" s="131">
        <f>D11/100*50</f>
        <v>6330183.75</v>
      </c>
      <c r="L11" s="131">
        <f>D11/100*20</f>
        <v>2532073.5</v>
      </c>
      <c r="M11" s="131"/>
      <c r="N11" s="131"/>
      <c r="O11" s="131"/>
      <c r="P11" s="131"/>
      <c r="Q11" s="131"/>
    </row>
    <row r="12" spans="1:17" s="290" customFormat="1" ht="18" customHeight="1">
      <c r="A12" s="293">
        <v>5</v>
      </c>
      <c r="B12" s="438" t="str">
        <f>'Financial Plan 1397'!B8</f>
        <v xml:space="preserve">payment of 20% of Badam Bagh irregation network </v>
      </c>
      <c r="C12" s="616" t="str">
        <f>'Financial Plan 1397'!C8</f>
        <v>Ha</v>
      </c>
      <c r="D12" s="404">
        <f>'Financial Plan 1397'!H8</f>
        <v>2977164</v>
      </c>
      <c r="E12" s="131"/>
      <c r="F12" s="131"/>
      <c r="G12" s="131">
        <f>D12</f>
        <v>2977164</v>
      </c>
      <c r="H12" s="131"/>
      <c r="I12" s="131"/>
      <c r="J12" s="131"/>
      <c r="K12" s="131"/>
      <c r="L12" s="131"/>
      <c r="M12" s="131"/>
      <c r="N12" s="131"/>
      <c r="O12" s="131"/>
      <c r="P12" s="131"/>
      <c r="Q12" s="131"/>
    </row>
    <row r="13" spans="1:17" s="290" customFormat="1" ht="33" customHeight="1">
      <c r="A13" s="293">
        <v>6</v>
      </c>
      <c r="B13" s="438" t="str">
        <f>'Financial Plan 1397'!B9</f>
        <v>payment o 15 of irregation network of Asamee Mountain ( Peace light)</v>
      </c>
      <c r="C13" s="616" t="str">
        <f>'Financial Plan 1397'!C9</f>
        <v>extra work</v>
      </c>
      <c r="D13" s="404">
        <f>'Financial Plan 1397'!H9</f>
        <v>1005430</v>
      </c>
      <c r="E13" s="131"/>
      <c r="F13" s="131"/>
      <c r="G13" s="131">
        <f>D13</f>
        <v>1005430</v>
      </c>
      <c r="H13" s="131"/>
      <c r="I13" s="131"/>
      <c r="J13" s="131"/>
      <c r="K13" s="131"/>
      <c r="L13" s="131"/>
      <c r="M13" s="131"/>
      <c r="N13" s="131"/>
      <c r="O13" s="131"/>
      <c r="P13" s="131"/>
      <c r="Q13" s="131"/>
    </row>
    <row r="14" spans="1:17" s="290" customFormat="1" ht="18.75" customHeight="1">
      <c r="A14" s="293">
        <v>7</v>
      </c>
      <c r="B14" s="438" t="str">
        <f>'Financial Plan 1397'!B10</f>
        <v>construction of electricy system with all its equipment in new areas</v>
      </c>
      <c r="C14" s="616" t="str">
        <f>'Financial Plan 1397'!C10</f>
        <v>equip</v>
      </c>
      <c r="D14" s="404">
        <f>'Financial Plan 1397'!H10</f>
        <v>4800000</v>
      </c>
      <c r="E14" s="131"/>
      <c r="F14" s="131"/>
      <c r="G14" s="131"/>
      <c r="H14" s="131"/>
      <c r="I14" s="131">
        <f>D14/100*30</f>
        <v>1440000</v>
      </c>
      <c r="J14" s="131"/>
      <c r="K14" s="131">
        <f>D14/100*50</f>
        <v>2400000</v>
      </c>
      <c r="L14" s="131">
        <f>D14/100*20</f>
        <v>960000</v>
      </c>
      <c r="M14" s="131"/>
      <c r="N14" s="131"/>
      <c r="O14" s="131"/>
      <c r="P14" s="131"/>
      <c r="Q14" s="131"/>
    </row>
    <row r="15" spans="1:17" s="278" customFormat="1" ht="15.75">
      <c r="A15" s="914" t="s">
        <v>412</v>
      </c>
      <c r="B15" s="914"/>
      <c r="C15" s="914"/>
      <c r="D15" s="405">
        <f>SUM(D8:D14)</f>
        <v>60197235.5</v>
      </c>
      <c r="E15" s="319"/>
      <c r="F15" s="319"/>
      <c r="G15" s="319">
        <f t="shared" ref="G15:L15" si="1">SUM(G8:G14)</f>
        <v>6388719</v>
      </c>
      <c r="H15" s="319">
        <f t="shared" si="1"/>
        <v>18348149</v>
      </c>
      <c r="I15" s="319">
        <f t="shared" si="1"/>
        <v>10638110.25</v>
      </c>
      <c r="J15" s="319">
        <f t="shared" si="1"/>
        <v>0</v>
      </c>
      <c r="K15" s="319">
        <f t="shared" si="1"/>
        <v>17730183.75</v>
      </c>
      <c r="L15" s="319">
        <f t="shared" si="1"/>
        <v>7092073.5</v>
      </c>
      <c r="M15" s="319"/>
      <c r="N15" s="319"/>
      <c r="O15" s="319"/>
      <c r="P15" s="319"/>
      <c r="Q15" s="276">
        <f t="shared" si="0"/>
        <v>0</v>
      </c>
    </row>
    <row r="16" spans="1:17" s="277" customFormat="1" ht="15.75">
      <c r="A16" s="912" t="s">
        <v>413</v>
      </c>
      <c r="B16" s="912"/>
      <c r="C16" s="435" t="s">
        <v>392</v>
      </c>
      <c r="D16" s="436" t="s">
        <v>395</v>
      </c>
      <c r="E16" s="435" t="s">
        <v>400</v>
      </c>
      <c r="F16" s="435" t="s">
        <v>401</v>
      </c>
      <c r="G16" s="435" t="s">
        <v>402</v>
      </c>
      <c r="H16" s="435" t="s">
        <v>403</v>
      </c>
      <c r="I16" s="435" t="s">
        <v>404</v>
      </c>
      <c r="J16" s="435" t="s">
        <v>405</v>
      </c>
      <c r="K16" s="435" t="s">
        <v>406</v>
      </c>
      <c r="L16" s="435" t="s">
        <v>407</v>
      </c>
      <c r="M16" s="435" t="s">
        <v>408</v>
      </c>
      <c r="N16" s="435" t="s">
        <v>409</v>
      </c>
      <c r="O16" s="435" t="s">
        <v>410</v>
      </c>
      <c r="P16" s="435" t="s">
        <v>411</v>
      </c>
      <c r="Q16" s="435" t="s">
        <v>69</v>
      </c>
    </row>
    <row r="17" spans="1:17" s="291" customFormat="1" ht="18" customHeight="1">
      <c r="A17" s="292">
        <v>1</v>
      </c>
      <c r="B17" s="439" t="str">
        <f>'Financial Plan 1397'!B13</f>
        <v xml:space="preserve">Project Coordinator </v>
      </c>
      <c r="C17" s="257" t="s">
        <v>414</v>
      </c>
      <c r="D17" s="404">
        <f>'Financial Plan 1397'!H13</f>
        <v>1422220</v>
      </c>
      <c r="E17" s="284">
        <f>D17/12</f>
        <v>118518.33333333333</v>
      </c>
      <c r="F17" s="284">
        <f>D17/12</f>
        <v>118518.33333333333</v>
      </c>
      <c r="G17" s="284">
        <f>D17/12</f>
        <v>118518.33333333333</v>
      </c>
      <c r="H17" s="284">
        <f>D17/12</f>
        <v>118518.33333333333</v>
      </c>
      <c r="I17" s="284">
        <f>D17/12</f>
        <v>118518.33333333333</v>
      </c>
      <c r="J17" s="284">
        <f>D17/12</f>
        <v>118518.33333333333</v>
      </c>
      <c r="K17" s="284">
        <f>D17/12</f>
        <v>118518.33333333333</v>
      </c>
      <c r="L17" s="284">
        <f>D17/12</f>
        <v>118518.33333333333</v>
      </c>
      <c r="M17" s="284">
        <f>D17/12</f>
        <v>118518.33333333333</v>
      </c>
      <c r="N17" s="284">
        <f>D17/12</f>
        <v>118518.33333333333</v>
      </c>
      <c r="O17" s="284">
        <f>D17/12</f>
        <v>118518.33333333333</v>
      </c>
      <c r="P17" s="284">
        <f>D17/12</f>
        <v>118518.33333333333</v>
      </c>
      <c r="Q17" s="284">
        <f t="shared" ref="Q17:Q31" si="2">P17+O17+N17+M17+L17+K17+J17+I17+H17+G17+F17+E17-D17</f>
        <v>0</v>
      </c>
    </row>
    <row r="18" spans="1:17" s="291" customFormat="1" ht="18" customHeight="1">
      <c r="A18" s="292">
        <v>2</v>
      </c>
      <c r="B18" s="439" t="str">
        <f>'Financial Plan 1397'!B14</f>
        <v xml:space="preserve">M&amp;E Officer </v>
      </c>
      <c r="C18" s="257" t="s">
        <v>414</v>
      </c>
      <c r="D18" s="404">
        <f>'Financial Plan 1397'!H14</f>
        <v>795996</v>
      </c>
      <c r="E18" s="284">
        <f t="shared" ref="E18:E31" si="3">D18/12</f>
        <v>66333</v>
      </c>
      <c r="F18" s="284">
        <f t="shared" ref="F18:F31" si="4">D18/12</f>
        <v>66333</v>
      </c>
      <c r="G18" s="284">
        <f t="shared" ref="G18:G31" si="5">D18/12</f>
        <v>66333</v>
      </c>
      <c r="H18" s="284">
        <f t="shared" ref="H18:H31" si="6">D18/12</f>
        <v>66333</v>
      </c>
      <c r="I18" s="284">
        <f t="shared" ref="I18:I31" si="7">D18/12</f>
        <v>66333</v>
      </c>
      <c r="J18" s="284">
        <f t="shared" ref="J18:J31" si="8">D18/12</f>
        <v>66333</v>
      </c>
      <c r="K18" s="284">
        <f t="shared" ref="K18:K31" si="9">D18/12</f>
        <v>66333</v>
      </c>
      <c r="L18" s="284">
        <f t="shared" ref="L18:L31" si="10">D18/12</f>
        <v>66333</v>
      </c>
      <c r="M18" s="284">
        <f t="shared" ref="M18:M31" si="11">D18/12</f>
        <v>66333</v>
      </c>
      <c r="N18" s="284">
        <f t="shared" ref="N18:N31" si="12">D18/12</f>
        <v>66333</v>
      </c>
      <c r="O18" s="284">
        <f t="shared" ref="O18:O31" si="13">D18/12</f>
        <v>66333</v>
      </c>
      <c r="P18" s="284">
        <f t="shared" ref="P18:P31" si="14">D18/12</f>
        <v>66333</v>
      </c>
      <c r="Q18" s="284">
        <f t="shared" si="2"/>
        <v>0</v>
      </c>
    </row>
    <row r="19" spans="1:17" s="291" customFormat="1" ht="18" customHeight="1">
      <c r="A19" s="292">
        <v>3</v>
      </c>
      <c r="B19" s="439" t="str">
        <f>'Financial Plan 1397'!B15</f>
        <v>Water Resource Management Specialist</v>
      </c>
      <c r="C19" s="257" t="s">
        <v>414</v>
      </c>
      <c r="D19" s="404">
        <f>'Financial Plan 1397'!H15</f>
        <v>1044440</v>
      </c>
      <c r="E19" s="284">
        <f t="shared" si="3"/>
        <v>87036.666666666672</v>
      </c>
      <c r="F19" s="284">
        <f t="shared" si="4"/>
        <v>87036.666666666672</v>
      </c>
      <c r="G19" s="284">
        <f t="shared" si="5"/>
        <v>87036.666666666672</v>
      </c>
      <c r="H19" s="284">
        <f t="shared" si="6"/>
        <v>87036.666666666672</v>
      </c>
      <c r="I19" s="284">
        <f t="shared" si="7"/>
        <v>87036.666666666672</v>
      </c>
      <c r="J19" s="284">
        <f t="shared" si="8"/>
        <v>87036.666666666672</v>
      </c>
      <c r="K19" s="284">
        <f t="shared" si="9"/>
        <v>87036.666666666672</v>
      </c>
      <c r="L19" s="284">
        <f t="shared" si="10"/>
        <v>87036.666666666672</v>
      </c>
      <c r="M19" s="284">
        <f t="shared" si="11"/>
        <v>87036.666666666672</v>
      </c>
      <c r="N19" s="284">
        <f t="shared" si="12"/>
        <v>87036.666666666672</v>
      </c>
      <c r="O19" s="284">
        <f t="shared" si="13"/>
        <v>87036.666666666672</v>
      </c>
      <c r="P19" s="284">
        <f t="shared" si="14"/>
        <v>87036.666666666672</v>
      </c>
      <c r="Q19" s="284">
        <f t="shared" si="2"/>
        <v>0</v>
      </c>
    </row>
    <row r="20" spans="1:17" s="291" customFormat="1" ht="18" customHeight="1">
      <c r="A20" s="292">
        <v>4</v>
      </c>
      <c r="B20" s="439" t="str">
        <f>'Financial Plan 1397'!B16</f>
        <v>Admin And Finance Assistant</v>
      </c>
      <c r="C20" s="257" t="s">
        <v>414</v>
      </c>
      <c r="D20" s="404">
        <f>'Financial Plan 1397'!H16</f>
        <v>336000</v>
      </c>
      <c r="E20" s="284">
        <f t="shared" si="3"/>
        <v>28000</v>
      </c>
      <c r="F20" s="284">
        <f t="shared" si="4"/>
        <v>28000</v>
      </c>
      <c r="G20" s="284">
        <f t="shared" si="5"/>
        <v>28000</v>
      </c>
      <c r="H20" s="284">
        <f t="shared" si="6"/>
        <v>28000</v>
      </c>
      <c r="I20" s="284">
        <f t="shared" si="7"/>
        <v>28000</v>
      </c>
      <c r="J20" s="284">
        <f t="shared" si="8"/>
        <v>28000</v>
      </c>
      <c r="K20" s="284">
        <f t="shared" si="9"/>
        <v>28000</v>
      </c>
      <c r="L20" s="284">
        <f t="shared" si="10"/>
        <v>28000</v>
      </c>
      <c r="M20" s="284">
        <f t="shared" si="11"/>
        <v>28000</v>
      </c>
      <c r="N20" s="284">
        <f t="shared" si="12"/>
        <v>28000</v>
      </c>
      <c r="O20" s="284">
        <f t="shared" si="13"/>
        <v>28000</v>
      </c>
      <c r="P20" s="284">
        <f t="shared" si="14"/>
        <v>28000</v>
      </c>
      <c r="Q20" s="284">
        <f t="shared" si="2"/>
        <v>0</v>
      </c>
    </row>
    <row r="21" spans="1:17" s="291" customFormat="1" ht="18" customHeight="1">
      <c r="A21" s="292">
        <v>5</v>
      </c>
      <c r="B21" s="439" t="str">
        <f>'Financial Plan 1397'!B17</f>
        <v>GIS specialist</v>
      </c>
      <c r="C21" s="257" t="s">
        <v>414</v>
      </c>
      <c r="D21" s="404">
        <f>'Financial Plan 1397'!H17</f>
        <v>912000</v>
      </c>
      <c r="E21" s="284">
        <f t="shared" si="3"/>
        <v>76000</v>
      </c>
      <c r="F21" s="284">
        <f t="shared" si="4"/>
        <v>76000</v>
      </c>
      <c r="G21" s="284">
        <f t="shared" si="5"/>
        <v>76000</v>
      </c>
      <c r="H21" s="284">
        <f t="shared" si="6"/>
        <v>76000</v>
      </c>
      <c r="I21" s="284">
        <f t="shared" si="7"/>
        <v>76000</v>
      </c>
      <c r="J21" s="284">
        <f t="shared" si="8"/>
        <v>76000</v>
      </c>
      <c r="K21" s="284">
        <f t="shared" si="9"/>
        <v>76000</v>
      </c>
      <c r="L21" s="284">
        <f t="shared" si="10"/>
        <v>76000</v>
      </c>
      <c r="M21" s="284">
        <f t="shared" si="11"/>
        <v>76000</v>
      </c>
      <c r="N21" s="284">
        <f t="shared" si="12"/>
        <v>76000</v>
      </c>
      <c r="O21" s="284">
        <f t="shared" si="13"/>
        <v>76000</v>
      </c>
      <c r="P21" s="284">
        <f t="shared" si="14"/>
        <v>76000</v>
      </c>
      <c r="Q21" s="284">
        <f t="shared" si="2"/>
        <v>0</v>
      </c>
    </row>
    <row r="22" spans="1:17" s="291" customFormat="1" ht="18" customHeight="1">
      <c r="A22" s="292">
        <v>6</v>
      </c>
      <c r="B22" s="439" t="str">
        <f>'Financial Plan 1397'!B18</f>
        <v>Greenry Outreach Specialist</v>
      </c>
      <c r="C22" s="257" t="s">
        <v>414</v>
      </c>
      <c r="D22" s="404">
        <f>'Financial Plan 1397'!H18</f>
        <v>997332</v>
      </c>
      <c r="E22" s="284">
        <f t="shared" si="3"/>
        <v>83111</v>
      </c>
      <c r="F22" s="284">
        <f t="shared" si="4"/>
        <v>83111</v>
      </c>
      <c r="G22" s="284">
        <f t="shared" si="5"/>
        <v>83111</v>
      </c>
      <c r="H22" s="284">
        <f t="shared" si="6"/>
        <v>83111</v>
      </c>
      <c r="I22" s="284">
        <f t="shared" si="7"/>
        <v>83111</v>
      </c>
      <c r="J22" s="284">
        <f t="shared" si="8"/>
        <v>83111</v>
      </c>
      <c r="K22" s="284">
        <f t="shared" si="9"/>
        <v>83111</v>
      </c>
      <c r="L22" s="284">
        <f t="shared" si="10"/>
        <v>83111</v>
      </c>
      <c r="M22" s="284">
        <f t="shared" si="11"/>
        <v>83111</v>
      </c>
      <c r="N22" s="284">
        <f t="shared" si="12"/>
        <v>83111</v>
      </c>
      <c r="O22" s="284">
        <f t="shared" si="13"/>
        <v>83111</v>
      </c>
      <c r="P22" s="284">
        <f t="shared" si="14"/>
        <v>83111</v>
      </c>
      <c r="Q22" s="284">
        <f t="shared" si="2"/>
        <v>0</v>
      </c>
    </row>
    <row r="23" spans="1:17" s="291" customFormat="1" ht="18" customHeight="1">
      <c r="A23" s="292">
        <v>7</v>
      </c>
      <c r="B23" s="439" t="str">
        <f>'Financial Plan 1397'!B19</f>
        <v>Urban Greenery and Forestry Development Specialist</v>
      </c>
      <c r="C23" s="257" t="s">
        <v>414</v>
      </c>
      <c r="D23" s="404">
        <f>'Financial Plan 1397'!H19</f>
        <v>1167996</v>
      </c>
      <c r="E23" s="284">
        <f t="shared" si="3"/>
        <v>97333</v>
      </c>
      <c r="F23" s="284">
        <f t="shared" si="4"/>
        <v>97333</v>
      </c>
      <c r="G23" s="284">
        <f t="shared" si="5"/>
        <v>97333</v>
      </c>
      <c r="H23" s="284">
        <f t="shared" si="6"/>
        <v>97333</v>
      </c>
      <c r="I23" s="284">
        <f t="shared" si="7"/>
        <v>97333</v>
      </c>
      <c r="J23" s="284">
        <f t="shared" si="8"/>
        <v>97333</v>
      </c>
      <c r="K23" s="284">
        <f t="shared" si="9"/>
        <v>97333</v>
      </c>
      <c r="L23" s="284">
        <f t="shared" si="10"/>
        <v>97333</v>
      </c>
      <c r="M23" s="284">
        <f t="shared" si="11"/>
        <v>97333</v>
      </c>
      <c r="N23" s="284">
        <f t="shared" si="12"/>
        <v>97333</v>
      </c>
      <c r="O23" s="284">
        <f t="shared" si="13"/>
        <v>97333</v>
      </c>
      <c r="P23" s="284">
        <f t="shared" si="14"/>
        <v>97333</v>
      </c>
      <c r="Q23" s="284">
        <f t="shared" si="2"/>
        <v>0</v>
      </c>
    </row>
    <row r="24" spans="1:17" s="291" customFormat="1" ht="18" customHeight="1">
      <c r="A24" s="292">
        <v>8</v>
      </c>
      <c r="B24" s="439" t="str">
        <f>'Financial Plan 1397'!B20</f>
        <v>Urban Greenery and Forestry Development Officers</v>
      </c>
      <c r="C24" s="257" t="s">
        <v>414</v>
      </c>
      <c r="D24" s="404">
        <f>'Financial Plan 1397'!H20</f>
        <v>2912016</v>
      </c>
      <c r="E24" s="284">
        <f t="shared" si="3"/>
        <v>242668</v>
      </c>
      <c r="F24" s="284">
        <f t="shared" si="4"/>
        <v>242668</v>
      </c>
      <c r="G24" s="284">
        <f t="shared" si="5"/>
        <v>242668</v>
      </c>
      <c r="H24" s="284">
        <f t="shared" si="6"/>
        <v>242668</v>
      </c>
      <c r="I24" s="284">
        <f t="shared" si="7"/>
        <v>242668</v>
      </c>
      <c r="J24" s="284">
        <f t="shared" si="8"/>
        <v>242668</v>
      </c>
      <c r="K24" s="284">
        <f t="shared" si="9"/>
        <v>242668</v>
      </c>
      <c r="L24" s="284">
        <f t="shared" si="10"/>
        <v>242668</v>
      </c>
      <c r="M24" s="284">
        <f t="shared" si="11"/>
        <v>242668</v>
      </c>
      <c r="N24" s="284">
        <f t="shared" si="12"/>
        <v>242668</v>
      </c>
      <c r="O24" s="284">
        <f t="shared" si="13"/>
        <v>242668</v>
      </c>
      <c r="P24" s="284">
        <f t="shared" si="14"/>
        <v>242668</v>
      </c>
      <c r="Q24" s="284">
        <f t="shared" si="2"/>
        <v>0</v>
      </c>
    </row>
    <row r="25" spans="1:17" s="291" customFormat="1" ht="18" customHeight="1">
      <c r="A25" s="292">
        <v>9</v>
      </c>
      <c r="B25" s="439" t="str">
        <f>'Financial Plan 1397'!B21</f>
        <v>Technican and Rangers</v>
      </c>
      <c r="C25" s="257" t="s">
        <v>414</v>
      </c>
      <c r="D25" s="404">
        <f>'Financial Plan 1397'!H21</f>
        <v>2687904</v>
      </c>
      <c r="E25" s="284">
        <f t="shared" si="3"/>
        <v>223992</v>
      </c>
      <c r="F25" s="284">
        <f t="shared" si="4"/>
        <v>223992</v>
      </c>
      <c r="G25" s="284">
        <f t="shared" si="5"/>
        <v>223992</v>
      </c>
      <c r="H25" s="284">
        <f t="shared" si="6"/>
        <v>223992</v>
      </c>
      <c r="I25" s="284">
        <f t="shared" si="7"/>
        <v>223992</v>
      </c>
      <c r="J25" s="284">
        <f t="shared" si="8"/>
        <v>223992</v>
      </c>
      <c r="K25" s="284">
        <f t="shared" si="9"/>
        <v>223992</v>
      </c>
      <c r="L25" s="284">
        <f t="shared" si="10"/>
        <v>223992</v>
      </c>
      <c r="M25" s="284">
        <f t="shared" si="11"/>
        <v>223992</v>
      </c>
      <c r="N25" s="284">
        <f t="shared" si="12"/>
        <v>223992</v>
      </c>
      <c r="O25" s="284">
        <f t="shared" si="13"/>
        <v>223992</v>
      </c>
      <c r="P25" s="284">
        <f t="shared" si="14"/>
        <v>223992</v>
      </c>
      <c r="Q25" s="284">
        <f t="shared" si="2"/>
        <v>0</v>
      </c>
    </row>
    <row r="26" spans="1:17" s="291" customFormat="1" ht="18" customHeight="1">
      <c r="A26" s="292">
        <v>10</v>
      </c>
      <c r="B26" s="439" t="str">
        <f>'Financial Plan 1397'!B22</f>
        <v>Design Engineer</v>
      </c>
      <c r="C26" s="257" t="s">
        <v>414</v>
      </c>
      <c r="D26" s="404">
        <f>'Financial Plan 1397'!H22</f>
        <v>1253328</v>
      </c>
      <c r="E26" s="284">
        <f t="shared" si="3"/>
        <v>104444</v>
      </c>
      <c r="F26" s="284">
        <f t="shared" si="4"/>
        <v>104444</v>
      </c>
      <c r="G26" s="284">
        <f t="shared" si="5"/>
        <v>104444</v>
      </c>
      <c r="H26" s="284">
        <f t="shared" si="6"/>
        <v>104444</v>
      </c>
      <c r="I26" s="284">
        <f t="shared" si="7"/>
        <v>104444</v>
      </c>
      <c r="J26" s="284">
        <f t="shared" si="8"/>
        <v>104444</v>
      </c>
      <c r="K26" s="284">
        <f t="shared" si="9"/>
        <v>104444</v>
      </c>
      <c r="L26" s="284">
        <f t="shared" si="10"/>
        <v>104444</v>
      </c>
      <c r="M26" s="284">
        <f t="shared" si="11"/>
        <v>104444</v>
      </c>
      <c r="N26" s="284">
        <f t="shared" si="12"/>
        <v>104444</v>
      </c>
      <c r="O26" s="284">
        <f t="shared" si="13"/>
        <v>104444</v>
      </c>
      <c r="P26" s="284">
        <f t="shared" si="14"/>
        <v>104444</v>
      </c>
      <c r="Q26" s="284">
        <f t="shared" si="2"/>
        <v>0</v>
      </c>
    </row>
    <row r="27" spans="1:17" s="291" customFormat="1" ht="18" customHeight="1">
      <c r="A27" s="292">
        <v>11</v>
      </c>
      <c r="B27" s="439" t="str">
        <f>'Financial Plan 1397'!B23</f>
        <v>Desgin Engineer</v>
      </c>
      <c r="C27" s="257" t="s">
        <v>414</v>
      </c>
      <c r="D27" s="404">
        <f>'Financial Plan 1397'!H23</f>
        <v>1253328</v>
      </c>
      <c r="E27" s="284">
        <f t="shared" si="3"/>
        <v>104444</v>
      </c>
      <c r="F27" s="284">
        <f t="shared" si="4"/>
        <v>104444</v>
      </c>
      <c r="G27" s="284">
        <f t="shared" si="5"/>
        <v>104444</v>
      </c>
      <c r="H27" s="284">
        <f t="shared" si="6"/>
        <v>104444</v>
      </c>
      <c r="I27" s="284">
        <f t="shared" si="7"/>
        <v>104444</v>
      </c>
      <c r="J27" s="284">
        <f t="shared" si="8"/>
        <v>104444</v>
      </c>
      <c r="K27" s="284">
        <f t="shared" si="9"/>
        <v>104444</v>
      </c>
      <c r="L27" s="284">
        <f t="shared" si="10"/>
        <v>104444</v>
      </c>
      <c r="M27" s="284">
        <f t="shared" si="11"/>
        <v>104444</v>
      </c>
      <c r="N27" s="284">
        <f t="shared" si="12"/>
        <v>104444</v>
      </c>
      <c r="O27" s="284">
        <f t="shared" si="13"/>
        <v>104444</v>
      </c>
      <c r="P27" s="284">
        <f t="shared" si="14"/>
        <v>104444</v>
      </c>
      <c r="Q27" s="284">
        <f t="shared" si="2"/>
        <v>0</v>
      </c>
    </row>
    <row r="28" spans="1:17" s="291" customFormat="1" ht="18" customHeight="1">
      <c r="A28" s="292">
        <v>12</v>
      </c>
      <c r="B28" s="439" t="str">
        <f>'Financial Plan 1397'!B24</f>
        <v xml:space="preserve">Survery Engineer </v>
      </c>
      <c r="C28" s="257" t="s">
        <v>414</v>
      </c>
      <c r="D28" s="404">
        <f>'Financial Plan 1397'!H24</f>
        <v>1167996</v>
      </c>
      <c r="E28" s="284">
        <f t="shared" si="3"/>
        <v>97333</v>
      </c>
      <c r="F28" s="284">
        <f t="shared" si="4"/>
        <v>97333</v>
      </c>
      <c r="G28" s="284">
        <f t="shared" si="5"/>
        <v>97333</v>
      </c>
      <c r="H28" s="284">
        <f t="shared" si="6"/>
        <v>97333</v>
      </c>
      <c r="I28" s="284">
        <f t="shared" si="7"/>
        <v>97333</v>
      </c>
      <c r="J28" s="284">
        <f t="shared" si="8"/>
        <v>97333</v>
      </c>
      <c r="K28" s="284">
        <f t="shared" si="9"/>
        <v>97333</v>
      </c>
      <c r="L28" s="284">
        <f t="shared" si="10"/>
        <v>97333</v>
      </c>
      <c r="M28" s="284">
        <f t="shared" si="11"/>
        <v>97333</v>
      </c>
      <c r="N28" s="284">
        <f t="shared" si="12"/>
        <v>97333</v>
      </c>
      <c r="O28" s="284">
        <f t="shared" si="13"/>
        <v>97333</v>
      </c>
      <c r="P28" s="284">
        <f t="shared" si="14"/>
        <v>97333</v>
      </c>
      <c r="Q28" s="284">
        <f t="shared" si="2"/>
        <v>0</v>
      </c>
    </row>
    <row r="29" spans="1:17" s="291" customFormat="1" ht="18" customHeight="1">
      <c r="A29" s="292">
        <v>13</v>
      </c>
      <c r="B29" s="439" t="str">
        <f>'Financial Plan 1397'!B25</f>
        <v xml:space="preserve">Survey Engineer </v>
      </c>
      <c r="C29" s="257" t="s">
        <v>414</v>
      </c>
      <c r="D29" s="404">
        <f>'Financial Plan 1397'!H25</f>
        <v>997332</v>
      </c>
      <c r="E29" s="284">
        <f t="shared" si="3"/>
        <v>83111</v>
      </c>
      <c r="F29" s="284">
        <f t="shared" si="4"/>
        <v>83111</v>
      </c>
      <c r="G29" s="284">
        <f t="shared" si="5"/>
        <v>83111</v>
      </c>
      <c r="H29" s="284">
        <f t="shared" si="6"/>
        <v>83111</v>
      </c>
      <c r="I29" s="284">
        <f t="shared" si="7"/>
        <v>83111</v>
      </c>
      <c r="J29" s="284">
        <f t="shared" si="8"/>
        <v>83111</v>
      </c>
      <c r="K29" s="284">
        <f t="shared" si="9"/>
        <v>83111</v>
      </c>
      <c r="L29" s="284">
        <f t="shared" si="10"/>
        <v>83111</v>
      </c>
      <c r="M29" s="284">
        <f t="shared" si="11"/>
        <v>83111</v>
      </c>
      <c r="N29" s="284">
        <f t="shared" si="12"/>
        <v>83111</v>
      </c>
      <c r="O29" s="284">
        <f t="shared" si="13"/>
        <v>83111</v>
      </c>
      <c r="P29" s="284">
        <f t="shared" si="14"/>
        <v>83111</v>
      </c>
      <c r="Q29" s="284">
        <f t="shared" si="2"/>
        <v>0</v>
      </c>
    </row>
    <row r="30" spans="1:17" s="291" customFormat="1" ht="18" customHeight="1">
      <c r="A30" s="292">
        <v>14</v>
      </c>
      <c r="B30" s="439" t="str">
        <f>'Financial Plan 1397'!B26</f>
        <v xml:space="preserve">Site Engineer </v>
      </c>
      <c r="C30" s="257" t="s">
        <v>414</v>
      </c>
      <c r="D30" s="404">
        <f>'Financial Plan 1397'!H26</f>
        <v>404004</v>
      </c>
      <c r="E30" s="284">
        <f t="shared" si="3"/>
        <v>33667</v>
      </c>
      <c r="F30" s="284">
        <f t="shared" si="4"/>
        <v>33667</v>
      </c>
      <c r="G30" s="284">
        <f t="shared" si="5"/>
        <v>33667</v>
      </c>
      <c r="H30" s="284">
        <f t="shared" si="6"/>
        <v>33667</v>
      </c>
      <c r="I30" s="284">
        <f t="shared" si="7"/>
        <v>33667</v>
      </c>
      <c r="J30" s="284">
        <f t="shared" si="8"/>
        <v>33667</v>
      </c>
      <c r="K30" s="284">
        <f t="shared" si="9"/>
        <v>33667</v>
      </c>
      <c r="L30" s="284">
        <f t="shared" si="10"/>
        <v>33667</v>
      </c>
      <c r="M30" s="284">
        <f t="shared" si="11"/>
        <v>33667</v>
      </c>
      <c r="N30" s="284">
        <f t="shared" si="12"/>
        <v>33667</v>
      </c>
      <c r="O30" s="284">
        <f t="shared" si="13"/>
        <v>33667</v>
      </c>
      <c r="P30" s="284">
        <f t="shared" si="14"/>
        <v>33667</v>
      </c>
      <c r="Q30" s="284">
        <f t="shared" si="2"/>
        <v>0</v>
      </c>
    </row>
    <row r="31" spans="1:17" s="291" customFormat="1" ht="18" customHeight="1">
      <c r="A31" s="292">
        <v>15</v>
      </c>
      <c r="B31" s="439" t="str">
        <f>'Financial Plan 1397'!B27</f>
        <v>Office clerck / Cleaner</v>
      </c>
      <c r="C31" s="257" t="s">
        <v>414</v>
      </c>
      <c r="D31" s="404">
        <f>'Financial Plan 1397'!H27</f>
        <v>298656</v>
      </c>
      <c r="E31" s="284">
        <f t="shared" si="3"/>
        <v>24888</v>
      </c>
      <c r="F31" s="284">
        <f t="shared" si="4"/>
        <v>24888</v>
      </c>
      <c r="G31" s="284">
        <f t="shared" si="5"/>
        <v>24888</v>
      </c>
      <c r="H31" s="284">
        <f t="shared" si="6"/>
        <v>24888</v>
      </c>
      <c r="I31" s="284">
        <f t="shared" si="7"/>
        <v>24888</v>
      </c>
      <c r="J31" s="284">
        <f t="shared" si="8"/>
        <v>24888</v>
      </c>
      <c r="K31" s="284">
        <f t="shared" si="9"/>
        <v>24888</v>
      </c>
      <c r="L31" s="284">
        <f t="shared" si="10"/>
        <v>24888</v>
      </c>
      <c r="M31" s="284">
        <f t="shared" si="11"/>
        <v>24888</v>
      </c>
      <c r="N31" s="284">
        <f t="shared" si="12"/>
        <v>24888</v>
      </c>
      <c r="O31" s="284">
        <f t="shared" si="13"/>
        <v>24888</v>
      </c>
      <c r="P31" s="284">
        <f t="shared" si="14"/>
        <v>24888</v>
      </c>
      <c r="Q31" s="284">
        <f t="shared" si="2"/>
        <v>0</v>
      </c>
    </row>
    <row r="32" spans="1:17" s="302" customFormat="1" ht="15.75">
      <c r="A32" s="915" t="s">
        <v>412</v>
      </c>
      <c r="B32" s="915"/>
      <c r="C32" s="915"/>
      <c r="D32" s="405">
        <f t="shared" ref="D32:P32" si="15">SUM(D17:D31)</f>
        <v>17650548</v>
      </c>
      <c r="E32" s="276">
        <f t="shared" si="15"/>
        <v>1470879</v>
      </c>
      <c r="F32" s="276">
        <f t="shared" si="15"/>
        <v>1470879</v>
      </c>
      <c r="G32" s="276">
        <f t="shared" si="15"/>
        <v>1470879</v>
      </c>
      <c r="H32" s="276">
        <f t="shared" si="15"/>
        <v>1470879</v>
      </c>
      <c r="I32" s="276">
        <f t="shared" si="15"/>
        <v>1470879</v>
      </c>
      <c r="J32" s="276">
        <f t="shared" si="15"/>
        <v>1470879</v>
      </c>
      <c r="K32" s="276">
        <f t="shared" si="15"/>
        <v>1470879</v>
      </c>
      <c r="L32" s="276">
        <f t="shared" si="15"/>
        <v>1470879</v>
      </c>
      <c r="M32" s="276">
        <f t="shared" si="15"/>
        <v>1470879</v>
      </c>
      <c r="N32" s="276">
        <f t="shared" si="15"/>
        <v>1470879</v>
      </c>
      <c r="O32" s="276">
        <f t="shared" si="15"/>
        <v>1470879</v>
      </c>
      <c r="P32" s="276">
        <f t="shared" si="15"/>
        <v>1470879</v>
      </c>
      <c r="Q32" s="276">
        <f t="shared" ref="Q32:Q41" si="16">SUM(E32:P32)-D32</f>
        <v>0</v>
      </c>
    </row>
    <row r="33" spans="1:18" s="273" customFormat="1" ht="15.75">
      <c r="A33" s="912" t="s">
        <v>430</v>
      </c>
      <c r="B33" s="912"/>
      <c r="C33" s="435" t="s">
        <v>392</v>
      </c>
      <c r="D33" s="436" t="s">
        <v>395</v>
      </c>
      <c r="E33" s="435" t="s">
        <v>400</v>
      </c>
      <c r="F33" s="435" t="s">
        <v>401</v>
      </c>
      <c r="G33" s="435" t="s">
        <v>402</v>
      </c>
      <c r="H33" s="435" t="s">
        <v>403</v>
      </c>
      <c r="I33" s="435" t="s">
        <v>404</v>
      </c>
      <c r="J33" s="435" t="s">
        <v>405</v>
      </c>
      <c r="K33" s="435" t="s">
        <v>406</v>
      </c>
      <c r="L33" s="435" t="s">
        <v>407</v>
      </c>
      <c r="M33" s="435" t="s">
        <v>408</v>
      </c>
      <c r="N33" s="435" t="s">
        <v>409</v>
      </c>
      <c r="O33" s="435" t="s">
        <v>410</v>
      </c>
      <c r="P33" s="435" t="s">
        <v>411</v>
      </c>
      <c r="Q33" s="435" t="s">
        <v>69</v>
      </c>
    </row>
    <row r="34" spans="1:18" s="286" customFormat="1" ht="18" customHeight="1">
      <c r="A34" s="617">
        <f>'Financial Plan 1397'!A30</f>
        <v>1</v>
      </c>
      <c r="B34" s="476" t="str">
        <f>'Financial Plan 1397'!B30</f>
        <v>Land preparation and plotting in the total area 40 jeribs</v>
      </c>
      <c r="C34" s="301" t="str">
        <f>'Financial Plan 1397'!C30</f>
        <v>m2</v>
      </c>
      <c r="D34" s="404">
        <f>'Financial Plan 1397'!H30</f>
        <v>400000</v>
      </c>
      <c r="E34" s="284"/>
      <c r="F34" s="284"/>
      <c r="G34" s="284"/>
      <c r="H34" s="285">
        <f>D34/4</f>
        <v>100000</v>
      </c>
      <c r="I34" s="285">
        <f>D34/4</f>
        <v>100000</v>
      </c>
      <c r="J34" s="285"/>
      <c r="K34" s="285"/>
      <c r="L34" s="285"/>
      <c r="M34" s="285"/>
      <c r="N34" s="285"/>
      <c r="O34" s="285">
        <f>D34/4</f>
        <v>100000</v>
      </c>
      <c r="P34" s="285">
        <f>D34/4</f>
        <v>100000</v>
      </c>
      <c r="Q34" s="309">
        <f>P34+O34+N34+M34+L34+K34+J34+I34+H34+G34+F34+E34-D34</f>
        <v>0</v>
      </c>
    </row>
    <row r="35" spans="1:18" s="286" customFormat="1" ht="18" customHeight="1">
      <c r="A35" s="617">
        <f>'Financial Plan 1397'!A31</f>
        <v>2</v>
      </c>
      <c r="B35" s="439" t="s">
        <v>431</v>
      </c>
      <c r="C35" s="301" t="str">
        <f>'Financial Plan 1397'!C31</f>
        <v>m2</v>
      </c>
      <c r="D35" s="404">
        <f>'Financial Plan 1397'!H31</f>
        <v>26666.666666666664</v>
      </c>
      <c r="E35" s="284"/>
      <c r="F35" s="284"/>
      <c r="G35" s="284"/>
      <c r="H35" s="285"/>
      <c r="I35" s="285"/>
      <c r="J35" s="285"/>
      <c r="K35" s="285"/>
      <c r="L35" s="285"/>
      <c r="M35" s="285"/>
      <c r="N35" s="285"/>
      <c r="O35" s="285"/>
      <c r="P35" s="285">
        <f>D35</f>
        <v>26666.666666666664</v>
      </c>
      <c r="Q35" s="309">
        <f t="shared" ref="Q35:Q40" si="17">P35+O35+N35+M35+L35+K35+J35+I35+H35+G35+F35+E35-D35</f>
        <v>0</v>
      </c>
    </row>
    <row r="36" spans="1:18" s="286" customFormat="1" ht="18" customHeight="1">
      <c r="A36" s="617">
        <f>'Financial Plan 1397'!A32</f>
        <v>3</v>
      </c>
      <c r="B36" s="439" t="s">
        <v>387</v>
      </c>
      <c r="C36" s="301" t="str">
        <f>'Financial Plan 1397'!C32</f>
        <v>sac</v>
      </c>
      <c r="D36" s="404">
        <f>'Financial Plan 1397'!H32</f>
        <v>300800</v>
      </c>
      <c r="E36" s="284"/>
      <c r="F36" s="284"/>
      <c r="G36" s="284"/>
      <c r="H36" s="285"/>
      <c r="I36" s="285"/>
      <c r="J36" s="285"/>
      <c r="K36" s="285"/>
      <c r="L36" s="285"/>
      <c r="M36" s="285"/>
      <c r="N36" s="285">
        <f>D36/2</f>
        <v>150400</v>
      </c>
      <c r="O36" s="285">
        <f>D36/2</f>
        <v>150400</v>
      </c>
      <c r="P36" s="285"/>
      <c r="Q36" s="309">
        <f t="shared" si="17"/>
        <v>0</v>
      </c>
    </row>
    <row r="37" spans="1:18" s="286" customFormat="1" ht="18" customHeight="1">
      <c r="A37" s="617">
        <f>'Financial Plan 1397'!A33</f>
        <v>4</v>
      </c>
      <c r="B37" s="439" t="s">
        <v>432</v>
      </c>
      <c r="C37" s="301" t="str">
        <f>'Financial Plan 1397'!C33</f>
        <v>m2</v>
      </c>
      <c r="D37" s="404">
        <f>'Financial Plan 1397'!H33</f>
        <v>1215000</v>
      </c>
      <c r="E37" s="284"/>
      <c r="F37" s="284"/>
      <c r="G37" s="284"/>
      <c r="H37" s="285">
        <f>D37/7</f>
        <v>173571.42857142858</v>
      </c>
      <c r="I37" s="285">
        <f>D37/7</f>
        <v>173571.42857142858</v>
      </c>
      <c r="J37" s="285">
        <f>D37/7</f>
        <v>173571.42857142858</v>
      </c>
      <c r="K37" s="285">
        <f>D37/7</f>
        <v>173571.42857142858</v>
      </c>
      <c r="L37" s="285">
        <f>D37/7</f>
        <v>173571.42857142858</v>
      </c>
      <c r="M37" s="285">
        <f>D37/7</f>
        <v>173571.42857142858</v>
      </c>
      <c r="N37" s="285">
        <f>D37/7</f>
        <v>173571.42857142858</v>
      </c>
      <c r="O37" s="285"/>
      <c r="P37" s="285"/>
      <c r="Q37" s="309">
        <f t="shared" si="17"/>
        <v>0</v>
      </c>
    </row>
    <row r="38" spans="1:18" s="289" customFormat="1" ht="18" customHeight="1">
      <c r="A38" s="617">
        <f>'Financial Plan 1397'!A34</f>
        <v>5</v>
      </c>
      <c r="B38" s="439" t="s">
        <v>433</v>
      </c>
      <c r="C38" s="301" t="str">
        <f>'Financial Plan 1397'!C34</f>
        <v>seedling</v>
      </c>
      <c r="D38" s="404">
        <f>'Financial Plan 1397'!H34</f>
        <v>320000</v>
      </c>
      <c r="E38" s="284"/>
      <c r="F38" s="287"/>
      <c r="G38" s="287"/>
      <c r="H38" s="288">
        <f>D38/4</f>
        <v>80000</v>
      </c>
      <c r="I38" s="288">
        <f>D38/4</f>
        <v>80000</v>
      </c>
      <c r="J38" s="288"/>
      <c r="K38" s="288"/>
      <c r="L38" s="288"/>
      <c r="M38" s="288"/>
      <c r="N38" s="288"/>
      <c r="O38" s="288">
        <f>D38/4</f>
        <v>80000</v>
      </c>
      <c r="P38" s="288">
        <f>D38/4</f>
        <v>80000</v>
      </c>
      <c r="Q38" s="309">
        <f t="shared" si="17"/>
        <v>0</v>
      </c>
    </row>
    <row r="39" spans="1:18" s="286" customFormat="1" ht="18" customHeight="1">
      <c r="A39" s="617">
        <f>'Financial Plan 1397'!A35</f>
        <v>6</v>
      </c>
      <c r="B39" s="439" t="s">
        <v>434</v>
      </c>
      <c r="C39" s="301" t="str">
        <f>'Financial Plan 1397'!C35</f>
        <v>m3</v>
      </c>
      <c r="D39" s="404">
        <f>'Financial Plan 1397'!H35</f>
        <v>40000</v>
      </c>
      <c r="E39" s="284"/>
      <c r="F39" s="284"/>
      <c r="G39" s="284"/>
      <c r="H39" s="285"/>
      <c r="I39" s="285">
        <f>D39/5</f>
        <v>8000</v>
      </c>
      <c r="J39" s="285">
        <v>8000</v>
      </c>
      <c r="K39" s="285">
        <v>8000</v>
      </c>
      <c r="L39" s="285">
        <v>8000</v>
      </c>
      <c r="M39" s="285">
        <v>8000</v>
      </c>
      <c r="N39" s="285"/>
      <c r="O39" s="285"/>
      <c r="P39" s="285"/>
      <c r="Q39" s="309">
        <f t="shared" si="17"/>
        <v>0</v>
      </c>
      <c r="R39" s="289"/>
    </row>
    <row r="40" spans="1:18" s="289" customFormat="1" ht="18" customHeight="1">
      <c r="A40" s="617">
        <f>'Financial Plan 1397'!A36</f>
        <v>7</v>
      </c>
      <c r="B40" s="439" t="s">
        <v>435</v>
      </c>
      <c r="C40" s="301" t="str">
        <f>'Financial Plan 1397'!C36</f>
        <v>seedling</v>
      </c>
      <c r="D40" s="404">
        <f>'Financial Plan 1397'!H36</f>
        <v>1666666.6666666667</v>
      </c>
      <c r="E40" s="287"/>
      <c r="F40" s="287"/>
      <c r="G40" s="287">
        <f>D40/100*10</f>
        <v>166666.66666666669</v>
      </c>
      <c r="H40" s="288">
        <f>D40/100*10</f>
        <v>166666.66666666669</v>
      </c>
      <c r="I40" s="288"/>
      <c r="J40" s="288"/>
      <c r="K40" s="288"/>
      <c r="L40" s="288"/>
      <c r="M40" s="288"/>
      <c r="N40" s="288"/>
      <c r="O40" s="285">
        <f>D40/100*40</f>
        <v>666666.66666666674</v>
      </c>
      <c r="P40" s="285">
        <f>D40/100*40</f>
        <v>666666.66666666674</v>
      </c>
      <c r="Q40" s="309">
        <f t="shared" si="17"/>
        <v>0</v>
      </c>
    </row>
    <row r="41" spans="1:18" s="273" customFormat="1" ht="15.75">
      <c r="A41" s="915" t="s">
        <v>412</v>
      </c>
      <c r="B41" s="915"/>
      <c r="C41" s="915"/>
      <c r="D41" s="406">
        <f>SUM(D34:D40)</f>
        <v>3969133.333333334</v>
      </c>
      <c r="E41" s="116"/>
      <c r="F41" s="116"/>
      <c r="G41" s="116">
        <f t="shared" ref="G41:P41" si="18">SUM(G34:G40)</f>
        <v>166666.66666666669</v>
      </c>
      <c r="H41" s="116">
        <f t="shared" si="18"/>
        <v>520238.09523809527</v>
      </c>
      <c r="I41" s="116">
        <f t="shared" si="18"/>
        <v>361571.42857142858</v>
      </c>
      <c r="J41" s="116">
        <f t="shared" si="18"/>
        <v>181571.42857142858</v>
      </c>
      <c r="K41" s="116">
        <f t="shared" si="18"/>
        <v>181571.42857142858</v>
      </c>
      <c r="L41" s="116">
        <f t="shared" si="18"/>
        <v>181571.42857142858</v>
      </c>
      <c r="M41" s="116">
        <f t="shared" si="18"/>
        <v>181571.42857142858</v>
      </c>
      <c r="N41" s="116">
        <f t="shared" si="18"/>
        <v>323971.42857142858</v>
      </c>
      <c r="O41" s="116">
        <f t="shared" si="18"/>
        <v>997066.66666666674</v>
      </c>
      <c r="P41" s="116">
        <f t="shared" si="18"/>
        <v>873333.33333333337</v>
      </c>
      <c r="Q41" s="116">
        <f t="shared" si="16"/>
        <v>0</v>
      </c>
    </row>
    <row r="42" spans="1:18" s="273" customFormat="1" ht="15.75">
      <c r="A42" s="913" t="s">
        <v>436</v>
      </c>
      <c r="B42" s="913"/>
      <c r="C42" s="435" t="s">
        <v>392</v>
      </c>
      <c r="D42" s="436" t="s">
        <v>395</v>
      </c>
      <c r="E42" s="435" t="s">
        <v>400</v>
      </c>
      <c r="F42" s="435" t="s">
        <v>401</v>
      </c>
      <c r="G42" s="435" t="s">
        <v>402</v>
      </c>
      <c r="H42" s="435" t="s">
        <v>403</v>
      </c>
      <c r="I42" s="435" t="s">
        <v>404</v>
      </c>
      <c r="J42" s="435" t="s">
        <v>405</v>
      </c>
      <c r="K42" s="435" t="s">
        <v>406</v>
      </c>
      <c r="L42" s="435" t="s">
        <v>407</v>
      </c>
      <c r="M42" s="435" t="s">
        <v>408</v>
      </c>
      <c r="N42" s="435" t="s">
        <v>409</v>
      </c>
      <c r="O42" s="435" t="s">
        <v>410</v>
      </c>
      <c r="P42" s="435" t="s">
        <v>411</v>
      </c>
      <c r="Q42" s="435" t="s">
        <v>69</v>
      </c>
    </row>
    <row r="43" spans="1:18" s="296" customFormat="1" ht="19.5" customHeight="1">
      <c r="A43" s="298">
        <v>1</v>
      </c>
      <c r="B43" s="440" t="str">
        <f>'Financial Plan 1397'!B39</f>
        <v>Total Area</v>
      </c>
      <c r="C43" s="306" t="str">
        <f>'Financial Plan 1397'!C39</f>
        <v>Ha</v>
      </c>
      <c r="D43" s="407">
        <f>'Financial Plan 1397'!H39</f>
        <v>0</v>
      </c>
      <c r="E43" s="294"/>
      <c r="F43" s="294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309">
        <f t="shared" ref="Q43:Q50" si="19">P43+O43+N43+M43+L43+K43+J43+I43+H43+G43+F43+E43-D43</f>
        <v>0</v>
      </c>
    </row>
    <row r="44" spans="1:18" s="296" customFormat="1" ht="19.5" customHeight="1">
      <c r="A44" s="298">
        <v>2</v>
      </c>
      <c r="B44" s="440" t="s">
        <v>437</v>
      </c>
      <c r="C44" s="306" t="str">
        <f>'Financial Plan 1397'!C40</f>
        <v>m</v>
      </c>
      <c r="D44" s="407">
        <f>'Financial Plan 1397'!H40</f>
        <v>16268000.000000002</v>
      </c>
      <c r="E44" s="294"/>
      <c r="F44" s="294"/>
      <c r="G44" s="295">
        <f>D44/7</f>
        <v>2324000.0000000005</v>
      </c>
      <c r="H44" s="295">
        <f>D44/7</f>
        <v>2324000.0000000005</v>
      </c>
      <c r="I44" s="295">
        <f>D44/7</f>
        <v>2324000.0000000005</v>
      </c>
      <c r="J44" s="295">
        <f>D44/7</f>
        <v>2324000.0000000005</v>
      </c>
      <c r="K44" s="295">
        <f>D44/7</f>
        <v>2324000.0000000005</v>
      </c>
      <c r="L44" s="295">
        <f>D44/7</f>
        <v>2324000.0000000005</v>
      </c>
      <c r="M44" s="295">
        <f>D44/7</f>
        <v>2324000.0000000005</v>
      </c>
      <c r="N44" s="295"/>
      <c r="O44" s="295"/>
      <c r="P44" s="295"/>
      <c r="Q44" s="309">
        <f t="shared" si="19"/>
        <v>0</v>
      </c>
    </row>
    <row r="45" spans="1:18" s="296" customFormat="1" ht="19.5" customHeight="1">
      <c r="A45" s="298">
        <v>3</v>
      </c>
      <c r="B45" s="440" t="s">
        <v>438</v>
      </c>
      <c r="C45" s="306" t="s">
        <v>72</v>
      </c>
      <c r="D45" s="407">
        <f>'Financial Plan 1397'!H41</f>
        <v>488235.29411764711</v>
      </c>
      <c r="E45" s="294"/>
      <c r="F45" s="294"/>
      <c r="G45" s="295">
        <f t="shared" ref="G45:G47" si="20">D45/7</f>
        <v>69747.899159663866</v>
      </c>
      <c r="H45" s="295">
        <f t="shared" ref="H45:H47" si="21">D45/7</f>
        <v>69747.899159663866</v>
      </c>
      <c r="I45" s="295">
        <f t="shared" ref="I45:I47" si="22">D45/7</f>
        <v>69747.899159663866</v>
      </c>
      <c r="J45" s="295">
        <f t="shared" ref="J45:J47" si="23">D45/7</f>
        <v>69747.899159663866</v>
      </c>
      <c r="K45" s="295">
        <f t="shared" ref="K45:K47" si="24">D45/7</f>
        <v>69747.899159663866</v>
      </c>
      <c r="L45" s="295">
        <f t="shared" ref="L45:L47" si="25">D45/7</f>
        <v>69747.899159663866</v>
      </c>
      <c r="M45" s="295">
        <f t="shared" ref="M45:M47" si="26">D45/7</f>
        <v>69747.899159663866</v>
      </c>
      <c r="N45" s="295"/>
      <c r="O45" s="295"/>
      <c r="P45" s="295"/>
      <c r="Q45" s="309">
        <f t="shared" si="19"/>
        <v>0</v>
      </c>
    </row>
    <row r="46" spans="1:18" s="296" customFormat="1" ht="19.5" customHeight="1">
      <c r="A46" s="298">
        <v>4</v>
      </c>
      <c r="B46" s="440" t="s">
        <v>439</v>
      </c>
      <c r="C46" s="306" t="str">
        <f>'Financial Plan 1397'!C42</f>
        <v>m3</v>
      </c>
      <c r="D46" s="407">
        <f>'Financial Plan 1397'!H42</f>
        <v>332000</v>
      </c>
      <c r="E46" s="294"/>
      <c r="F46" s="294"/>
      <c r="G46" s="295">
        <f t="shared" si="20"/>
        <v>47428.571428571428</v>
      </c>
      <c r="H46" s="295">
        <f t="shared" si="21"/>
        <v>47428.571428571428</v>
      </c>
      <c r="I46" s="295">
        <f t="shared" si="22"/>
        <v>47428.571428571428</v>
      </c>
      <c r="J46" s="295">
        <f t="shared" si="23"/>
        <v>47428.571428571428</v>
      </c>
      <c r="K46" s="295">
        <f t="shared" si="24"/>
        <v>47428.571428571428</v>
      </c>
      <c r="L46" s="295">
        <f t="shared" si="25"/>
        <v>47428.571428571428</v>
      </c>
      <c r="M46" s="295">
        <f t="shared" si="26"/>
        <v>47428.571428571428</v>
      </c>
      <c r="N46" s="295"/>
      <c r="O46" s="295"/>
      <c r="P46" s="295"/>
      <c r="Q46" s="309">
        <f t="shared" si="19"/>
        <v>0</v>
      </c>
    </row>
    <row r="47" spans="1:18" s="296" customFormat="1" ht="19.5" customHeight="1">
      <c r="A47" s="298">
        <v>5</v>
      </c>
      <c r="B47" s="440" t="s">
        <v>440</v>
      </c>
      <c r="C47" s="306" t="str">
        <f>'Financial Plan 1397'!C43</f>
        <v>Pits</v>
      </c>
      <c r="D47" s="407">
        <f>'Financial Plan 1397'!H43</f>
        <v>7811764.7058823537</v>
      </c>
      <c r="E47" s="294"/>
      <c r="F47" s="294"/>
      <c r="G47" s="295">
        <f t="shared" si="20"/>
        <v>1115966.3865546219</v>
      </c>
      <c r="H47" s="295">
        <f t="shared" si="21"/>
        <v>1115966.3865546219</v>
      </c>
      <c r="I47" s="295">
        <f t="shared" si="22"/>
        <v>1115966.3865546219</v>
      </c>
      <c r="J47" s="295">
        <f t="shared" si="23"/>
        <v>1115966.3865546219</v>
      </c>
      <c r="K47" s="295">
        <f t="shared" si="24"/>
        <v>1115966.3865546219</v>
      </c>
      <c r="L47" s="295">
        <f t="shared" si="25"/>
        <v>1115966.3865546219</v>
      </c>
      <c r="M47" s="295">
        <f t="shared" si="26"/>
        <v>1115966.3865546219</v>
      </c>
      <c r="N47" s="295"/>
      <c r="O47" s="295"/>
      <c r="P47" s="295"/>
      <c r="Q47" s="309">
        <f t="shared" si="19"/>
        <v>0</v>
      </c>
    </row>
    <row r="48" spans="1:18" s="296" customFormat="1" ht="19.5" customHeight="1">
      <c r="A48" s="298">
        <v>6</v>
      </c>
      <c r="B48" s="440" t="s">
        <v>441</v>
      </c>
      <c r="C48" s="306" t="str">
        <f>'Financial Plan 1397'!C44</f>
        <v xml:space="preserve">Saplings </v>
      </c>
      <c r="D48" s="407">
        <f>'Financial Plan 1397'!H44</f>
        <v>1328000</v>
      </c>
      <c r="E48" s="294"/>
      <c r="F48" s="294"/>
      <c r="G48" s="295"/>
      <c r="H48" s="295"/>
      <c r="I48" s="295"/>
      <c r="J48" s="295"/>
      <c r="K48" s="295"/>
      <c r="L48" s="295"/>
      <c r="M48" s="295"/>
      <c r="N48" s="295">
        <f>D48/3</f>
        <v>442666.66666666669</v>
      </c>
      <c r="O48" s="295">
        <f>D48/3</f>
        <v>442666.66666666669</v>
      </c>
      <c r="P48" s="295">
        <f>D48/3</f>
        <v>442666.66666666669</v>
      </c>
      <c r="Q48" s="309">
        <f t="shared" si="19"/>
        <v>0</v>
      </c>
    </row>
    <row r="49" spans="1:17" s="296" customFormat="1" ht="19.5" customHeight="1">
      <c r="A49" s="298">
        <v>7</v>
      </c>
      <c r="B49" s="440" t="s">
        <v>442</v>
      </c>
      <c r="C49" s="306" t="str">
        <f>'Financial Plan 1397'!C45</f>
        <v>kg</v>
      </c>
      <c r="D49" s="407">
        <f>'Financial Plan 1397'!H45</f>
        <v>40400</v>
      </c>
      <c r="E49" s="294"/>
      <c r="F49" s="294"/>
      <c r="G49" s="295"/>
      <c r="H49" s="295"/>
      <c r="I49" s="295"/>
      <c r="J49" s="295"/>
      <c r="K49" s="295"/>
      <c r="L49" s="295"/>
      <c r="M49" s="295"/>
      <c r="N49" s="295">
        <f t="shared" ref="N49:N51" si="27">D49/3</f>
        <v>13466.666666666666</v>
      </c>
      <c r="O49" s="295">
        <f t="shared" ref="O49:O51" si="28">D49/3</f>
        <v>13466.666666666666</v>
      </c>
      <c r="P49" s="295">
        <f t="shared" ref="P49:P51" si="29">D49/3</f>
        <v>13466.666666666666</v>
      </c>
      <c r="Q49" s="309">
        <f t="shared" si="19"/>
        <v>0</v>
      </c>
    </row>
    <row r="50" spans="1:17" s="296" customFormat="1" ht="19.5" customHeight="1">
      <c r="A50" s="298">
        <v>8</v>
      </c>
      <c r="B50" s="440" t="s">
        <v>443</v>
      </c>
      <c r="C50" s="306" t="s">
        <v>358</v>
      </c>
      <c r="D50" s="407">
        <f>'Financial Plan 1397'!H46</f>
        <v>265600</v>
      </c>
      <c r="E50" s="294"/>
      <c r="F50" s="294"/>
      <c r="G50" s="295"/>
      <c r="H50" s="295"/>
      <c r="I50" s="295"/>
      <c r="J50" s="295"/>
      <c r="K50" s="295"/>
      <c r="L50" s="295"/>
      <c r="M50" s="295"/>
      <c r="N50" s="295">
        <f t="shared" si="27"/>
        <v>88533.333333333328</v>
      </c>
      <c r="O50" s="295">
        <f t="shared" si="28"/>
        <v>88533.333333333328</v>
      </c>
      <c r="P50" s="295">
        <f t="shared" si="29"/>
        <v>88533.333333333328</v>
      </c>
      <c r="Q50" s="309">
        <f t="shared" si="19"/>
        <v>0</v>
      </c>
    </row>
    <row r="51" spans="1:17" s="297" customFormat="1" ht="19.5" customHeight="1">
      <c r="A51" s="298">
        <v>9</v>
      </c>
      <c r="B51" s="440" t="s">
        <v>444</v>
      </c>
      <c r="C51" s="306" t="str">
        <f>'Financial Plan 1397'!C47</f>
        <v xml:space="preserve">Saplings </v>
      </c>
      <c r="D51" s="407">
        <f>'Financial Plan 1397'!H47</f>
        <v>265600</v>
      </c>
      <c r="E51" s="295"/>
      <c r="F51" s="295"/>
      <c r="G51" s="295"/>
      <c r="H51" s="295"/>
      <c r="I51" s="295"/>
      <c r="J51" s="295"/>
      <c r="K51" s="295"/>
      <c r="L51" s="295"/>
      <c r="M51" s="295"/>
      <c r="N51" s="295">
        <f t="shared" si="27"/>
        <v>88533.333333333328</v>
      </c>
      <c r="O51" s="295">
        <f t="shared" si="28"/>
        <v>88533.333333333328</v>
      </c>
      <c r="P51" s="295">
        <f t="shared" si="29"/>
        <v>88533.333333333328</v>
      </c>
      <c r="Q51" s="295">
        <f t="shared" ref="Q51" si="30">P51+O51+N51+M51+L51+K51+J51+I51+H51+G51+F51+E51-D51</f>
        <v>0</v>
      </c>
    </row>
    <row r="52" spans="1:17" s="317" customFormat="1" ht="15.75">
      <c r="A52" s="916" t="s">
        <v>412</v>
      </c>
      <c r="B52" s="916"/>
      <c r="C52" s="916"/>
      <c r="D52" s="408">
        <f>SUM(D43:D51)</f>
        <v>26799600</v>
      </c>
      <c r="E52" s="316"/>
      <c r="F52" s="316"/>
      <c r="G52" s="365">
        <f t="shared" ref="G52:O52" si="31">SUM(G43:G51)</f>
        <v>3557142.8571428573</v>
      </c>
      <c r="H52" s="365">
        <f t="shared" si="31"/>
        <v>3557142.8571428573</v>
      </c>
      <c r="I52" s="365">
        <f t="shared" si="31"/>
        <v>3557142.8571428573</v>
      </c>
      <c r="J52" s="365">
        <f t="shared" si="31"/>
        <v>3557142.8571428573</v>
      </c>
      <c r="K52" s="365">
        <f t="shared" si="31"/>
        <v>3557142.8571428573</v>
      </c>
      <c r="L52" s="365">
        <f t="shared" si="31"/>
        <v>3557142.8571428573</v>
      </c>
      <c r="M52" s="365">
        <f t="shared" si="31"/>
        <v>3557142.8571428573</v>
      </c>
      <c r="N52" s="365">
        <f t="shared" si="31"/>
        <v>633200.00000000012</v>
      </c>
      <c r="O52" s="365">
        <f t="shared" si="31"/>
        <v>633200.00000000012</v>
      </c>
      <c r="P52" s="365">
        <f>SUM(P43:P51)</f>
        <v>633200.00000000012</v>
      </c>
      <c r="Q52" s="365">
        <f>SUM(Q43:Q51)</f>
        <v>0</v>
      </c>
    </row>
    <row r="53" spans="1:17" s="273" customFormat="1" ht="15.75">
      <c r="A53" s="913" t="s">
        <v>464</v>
      </c>
      <c r="B53" s="913"/>
      <c r="C53" s="917" t="s">
        <v>392</v>
      </c>
      <c r="D53" s="917" t="s">
        <v>395</v>
      </c>
      <c r="E53" s="435" t="s">
        <v>400</v>
      </c>
      <c r="F53" s="436" t="s">
        <v>401</v>
      </c>
      <c r="G53" s="435" t="s">
        <v>402</v>
      </c>
      <c r="H53" s="435" t="s">
        <v>403</v>
      </c>
      <c r="I53" s="435" t="s">
        <v>404</v>
      </c>
      <c r="J53" s="435" t="s">
        <v>405</v>
      </c>
      <c r="K53" s="435" t="s">
        <v>406</v>
      </c>
      <c r="L53" s="435" t="s">
        <v>407</v>
      </c>
      <c r="M53" s="435" t="s">
        <v>408</v>
      </c>
      <c r="N53" s="435" t="s">
        <v>409</v>
      </c>
      <c r="O53" s="435" t="s">
        <v>410</v>
      </c>
      <c r="P53" s="435" t="s">
        <v>411</v>
      </c>
      <c r="Q53" s="435" t="s">
        <v>69</v>
      </c>
    </row>
    <row r="54" spans="1:17" s="282" customFormat="1" ht="18.75" customHeight="1">
      <c r="A54" s="441">
        <v>1</v>
      </c>
      <c r="B54" s="440" t="str">
        <f>'Financial Plan 1397'!B50</f>
        <v>Total Area</v>
      </c>
      <c r="C54" s="307" t="str">
        <f>'Financial Plan 1397'!C50</f>
        <v>Ha</v>
      </c>
      <c r="D54" s="409">
        <f>'Financial Plan 1397'!H50</f>
        <v>0</v>
      </c>
      <c r="E54" s="310"/>
      <c r="F54" s="310"/>
      <c r="G54" s="311"/>
      <c r="H54" s="311"/>
      <c r="I54" s="311"/>
      <c r="J54" s="311"/>
      <c r="K54" s="311"/>
      <c r="L54" s="311"/>
      <c r="M54" s="311"/>
      <c r="N54" s="311"/>
      <c r="O54" s="311"/>
      <c r="P54" s="311"/>
      <c r="Q54" s="311">
        <f>P54+O54+N54+M54+L54+K54+J54+I54+H54+G54+F54+E54-D54</f>
        <v>0</v>
      </c>
    </row>
    <row r="55" spans="1:17" s="282" customFormat="1" ht="18.75" customHeight="1">
      <c r="A55" s="262">
        <v>2</v>
      </c>
      <c r="B55" s="442" t="s">
        <v>445</v>
      </c>
      <c r="C55" s="307" t="s">
        <v>452</v>
      </c>
      <c r="D55" s="409">
        <f>'Financial Plan 1397'!H51</f>
        <v>349800</v>
      </c>
      <c r="E55" s="310"/>
      <c r="F55" s="310"/>
      <c r="G55" s="311"/>
      <c r="H55" s="311"/>
      <c r="I55" s="312">
        <f>D55/7</f>
        <v>49971.428571428572</v>
      </c>
      <c r="J55" s="312">
        <f>D55/7</f>
        <v>49971.428571428572</v>
      </c>
      <c r="K55" s="312">
        <f>D55/7</f>
        <v>49971.428571428572</v>
      </c>
      <c r="L55" s="312">
        <f>D55/7</f>
        <v>49971.428571428572</v>
      </c>
      <c r="M55" s="312">
        <f>D55/7</f>
        <v>49971.428571428572</v>
      </c>
      <c r="N55" s="312">
        <f>D55/7</f>
        <v>49971.428571428572</v>
      </c>
      <c r="O55" s="312">
        <f>D55/7</f>
        <v>49971.428571428572</v>
      </c>
      <c r="P55" s="311"/>
      <c r="Q55" s="311">
        <f t="shared" ref="Q55:Q63" si="32">P55+O55+N55+M55+L55+K55+J55+I55+H55+G55+F55+E55-D55</f>
        <v>0</v>
      </c>
    </row>
    <row r="56" spans="1:17" s="282" customFormat="1" ht="18.75" customHeight="1">
      <c r="A56" s="262">
        <v>3</v>
      </c>
      <c r="B56" s="442" t="s">
        <v>446</v>
      </c>
      <c r="C56" s="307" t="s">
        <v>393</v>
      </c>
      <c r="D56" s="409">
        <f>'Financial Plan 1397'!H52</f>
        <v>12494577.6</v>
      </c>
      <c r="E56" s="310"/>
      <c r="F56" s="310"/>
      <c r="G56" s="311"/>
      <c r="H56" s="311"/>
      <c r="I56" s="312">
        <f>D56/7</f>
        <v>1784939.6571428571</v>
      </c>
      <c r="J56" s="312">
        <f>D56/7</f>
        <v>1784939.6571428571</v>
      </c>
      <c r="K56" s="312">
        <f>D56/7</f>
        <v>1784939.6571428571</v>
      </c>
      <c r="L56" s="312">
        <f>D56/7</f>
        <v>1784939.6571428571</v>
      </c>
      <c r="M56" s="312">
        <f>D56/7</f>
        <v>1784939.6571428571</v>
      </c>
      <c r="N56" s="312">
        <f>D56/7</f>
        <v>1784939.6571428571</v>
      </c>
      <c r="O56" s="312">
        <f>D56/7</f>
        <v>1784939.6571428571</v>
      </c>
      <c r="P56" s="311"/>
      <c r="Q56" s="311">
        <f t="shared" si="32"/>
        <v>0</v>
      </c>
    </row>
    <row r="57" spans="1:17" s="282" customFormat="1" ht="18.75" customHeight="1">
      <c r="A57" s="262">
        <v>4</v>
      </c>
      <c r="B57" s="442" t="s">
        <v>447</v>
      </c>
      <c r="C57" s="307" t="s">
        <v>393</v>
      </c>
      <c r="D57" s="409">
        <f>'Financial Plan 1397'!H53</f>
        <v>305160.8</v>
      </c>
      <c r="E57" s="310"/>
      <c r="F57" s="310"/>
      <c r="G57" s="311"/>
      <c r="H57" s="311">
        <f>D57/2</f>
        <v>152580.4</v>
      </c>
      <c r="I57" s="312">
        <f>D57/2</f>
        <v>152580.4</v>
      </c>
      <c r="J57" s="311"/>
      <c r="K57" s="311"/>
      <c r="L57" s="311"/>
      <c r="M57" s="311"/>
      <c r="N57" s="311"/>
      <c r="O57" s="311"/>
      <c r="P57" s="311"/>
      <c r="Q57" s="311">
        <f t="shared" si="32"/>
        <v>0</v>
      </c>
    </row>
    <row r="58" spans="1:17" s="282" customFormat="1" ht="30.75" customHeight="1">
      <c r="A58" s="262">
        <v>5</v>
      </c>
      <c r="B58" s="442" t="s">
        <v>448</v>
      </c>
      <c r="C58" s="307" t="s">
        <v>393</v>
      </c>
      <c r="D58" s="409">
        <f>'Financial Plan 1397'!H54</f>
        <v>381451</v>
      </c>
      <c r="E58" s="310"/>
      <c r="F58" s="310"/>
      <c r="G58" s="311"/>
      <c r="H58" s="311"/>
      <c r="I58" s="311"/>
      <c r="J58" s="311">
        <f>D58/2</f>
        <v>190725.5</v>
      </c>
      <c r="K58" s="312">
        <f>D58/2</f>
        <v>190725.5</v>
      </c>
      <c r="L58" s="311"/>
      <c r="M58" s="311"/>
      <c r="N58" s="311"/>
      <c r="O58" s="311"/>
      <c r="P58" s="311"/>
      <c r="Q58" s="311">
        <f>P58+O58+N58+M58+L58+K58+J58+I58+H58+G58+F58+E58-D58</f>
        <v>0</v>
      </c>
    </row>
    <row r="59" spans="1:17" s="282" customFormat="1" ht="18.75" customHeight="1">
      <c r="A59" s="262">
        <v>6</v>
      </c>
      <c r="B59" s="442" t="s">
        <v>387</v>
      </c>
      <c r="C59" s="307" t="s">
        <v>452</v>
      </c>
      <c r="D59" s="409">
        <f>'Financial Plan 1397'!H55</f>
        <v>183096.48</v>
      </c>
      <c r="E59" s="310"/>
      <c r="F59" s="310"/>
      <c r="G59" s="311"/>
      <c r="H59" s="311"/>
      <c r="I59" s="311"/>
      <c r="J59" s="311"/>
      <c r="K59" s="311"/>
      <c r="L59" s="311"/>
      <c r="M59" s="311">
        <f>D59/2</f>
        <v>91548.24</v>
      </c>
      <c r="N59" s="312">
        <f>D59/2</f>
        <v>91548.24</v>
      </c>
      <c r="O59" s="311"/>
      <c r="P59" s="311"/>
      <c r="Q59" s="311">
        <f>P59+O59+N59+M59+L59+K59+J59+I59+H59+G59+F59+E59-D59</f>
        <v>0</v>
      </c>
    </row>
    <row r="60" spans="1:17" s="283" customFormat="1" ht="18.75" customHeight="1">
      <c r="A60" s="262">
        <v>7</v>
      </c>
      <c r="B60" s="442" t="s">
        <v>449</v>
      </c>
      <c r="C60" s="307" t="s">
        <v>393</v>
      </c>
      <c r="D60" s="409">
        <f>'Financial Plan 1397'!H56</f>
        <v>305160.80000000005</v>
      </c>
      <c r="E60" s="313"/>
      <c r="F60" s="313"/>
      <c r="G60" s="311"/>
      <c r="H60" s="311"/>
      <c r="I60" s="311"/>
      <c r="J60" s="311"/>
      <c r="K60" s="311"/>
      <c r="L60" s="311"/>
      <c r="M60" s="311"/>
      <c r="N60" s="311"/>
      <c r="O60" s="312">
        <f>D60/2</f>
        <v>152580.40000000002</v>
      </c>
      <c r="P60" s="312">
        <f>D60/2</f>
        <v>152580.40000000002</v>
      </c>
      <c r="Q60" s="311">
        <f t="shared" si="32"/>
        <v>0</v>
      </c>
    </row>
    <row r="61" spans="1:17" s="283" customFormat="1" ht="30.75" customHeight="1">
      <c r="A61" s="262">
        <v>8</v>
      </c>
      <c r="B61" s="442" t="s">
        <v>450</v>
      </c>
      <c r="C61" s="307" t="s">
        <v>393</v>
      </c>
      <c r="D61" s="409">
        <f>'Financial Plan 1397'!H57</f>
        <v>832000</v>
      </c>
      <c r="E61" s="313"/>
      <c r="F61" s="313"/>
      <c r="G61" s="311"/>
      <c r="H61" s="311"/>
      <c r="I61" s="311"/>
      <c r="J61" s="311"/>
      <c r="K61" s="311"/>
      <c r="L61" s="311"/>
      <c r="M61" s="311"/>
      <c r="N61" s="311"/>
      <c r="O61" s="312">
        <f>D61/2</f>
        <v>416000</v>
      </c>
      <c r="P61" s="312">
        <f>D61/2</f>
        <v>416000</v>
      </c>
      <c r="Q61" s="311">
        <f t="shared" si="32"/>
        <v>0</v>
      </c>
    </row>
    <row r="62" spans="1:17" s="283" customFormat="1" ht="33" customHeight="1">
      <c r="A62" s="262">
        <v>9</v>
      </c>
      <c r="B62" s="442" t="str">
        <f>'Financial Plan 1397'!B58</f>
        <v xml:space="preserve">Irrigation of new  cultivated plants of autom season and repalced sapplings  for 2 times </v>
      </c>
      <c r="C62" s="307" t="s">
        <v>393</v>
      </c>
      <c r="D62" s="409">
        <f>'Financial Plan 1397'!H58</f>
        <v>162686.56</v>
      </c>
      <c r="E62" s="313"/>
      <c r="F62" s="313"/>
      <c r="G62" s="311"/>
      <c r="H62" s="311"/>
      <c r="I62" s="311"/>
      <c r="J62" s="311"/>
      <c r="K62" s="311"/>
      <c r="L62" s="311"/>
      <c r="M62" s="311"/>
      <c r="N62" s="311"/>
      <c r="O62" s="312">
        <f>D62/2</f>
        <v>81343.28</v>
      </c>
      <c r="P62" s="312">
        <f>D62/2</f>
        <v>81343.28</v>
      </c>
      <c r="Q62" s="311">
        <f t="shared" si="32"/>
        <v>0</v>
      </c>
    </row>
    <row r="63" spans="1:17" s="283" customFormat="1" ht="22.5" customHeight="1">
      <c r="A63" s="262">
        <v>10</v>
      </c>
      <c r="B63" s="442" t="s">
        <v>451</v>
      </c>
      <c r="C63" s="307" t="s">
        <v>393</v>
      </c>
      <c r="D63" s="409">
        <f>'Financial Plan 1397'!H59</f>
        <v>1073405.7142857141</v>
      </c>
      <c r="E63" s="313"/>
      <c r="F63" s="313"/>
      <c r="G63" s="311"/>
      <c r="H63" s="311"/>
      <c r="I63" s="312">
        <f>D63/7</f>
        <v>153343.67346938772</v>
      </c>
      <c r="J63" s="312">
        <f>D63/7</f>
        <v>153343.67346938772</v>
      </c>
      <c r="K63" s="312">
        <f>D63/7</f>
        <v>153343.67346938772</v>
      </c>
      <c r="L63" s="312">
        <f>D63/7</f>
        <v>153343.67346938772</v>
      </c>
      <c r="M63" s="312">
        <f>D63/7</f>
        <v>153343.67346938772</v>
      </c>
      <c r="N63" s="312">
        <f>D63/7</f>
        <v>153343.67346938772</v>
      </c>
      <c r="O63" s="312">
        <f>D63/7</f>
        <v>153343.67346938772</v>
      </c>
      <c r="P63" s="312"/>
      <c r="Q63" s="311">
        <f t="shared" si="32"/>
        <v>0</v>
      </c>
    </row>
    <row r="64" spans="1:17" s="279" customFormat="1" ht="15.75">
      <c r="A64" s="915" t="s">
        <v>412</v>
      </c>
      <c r="B64" s="915"/>
      <c r="C64" s="915"/>
      <c r="D64" s="410">
        <f>SUM(D54:D63)</f>
        <v>16087338.954285717</v>
      </c>
      <c r="E64" s="314"/>
      <c r="F64" s="314"/>
      <c r="G64" s="315"/>
      <c r="H64" s="315">
        <f t="shared" ref="H64:O64" si="33">SUM(H55:H63)</f>
        <v>152580.4</v>
      </c>
      <c r="I64" s="315">
        <f t="shared" si="33"/>
        <v>2140835.1591836736</v>
      </c>
      <c r="J64" s="315">
        <f t="shared" si="33"/>
        <v>2178980.2591836737</v>
      </c>
      <c r="K64" s="315">
        <f t="shared" si="33"/>
        <v>2178980.2591836737</v>
      </c>
      <c r="L64" s="315">
        <f t="shared" si="33"/>
        <v>1988254.7591836734</v>
      </c>
      <c r="M64" s="315">
        <f t="shared" si="33"/>
        <v>2079802.9991836734</v>
      </c>
      <c r="N64" s="315">
        <f t="shared" si="33"/>
        <v>2079802.9991836734</v>
      </c>
      <c r="O64" s="315">
        <f t="shared" si="33"/>
        <v>2638178.4391836734</v>
      </c>
      <c r="P64" s="315">
        <f>SUM(P54:P63)</f>
        <v>649923.68000000005</v>
      </c>
      <c r="Q64" s="280">
        <f>SUM(Q54:Q60)</f>
        <v>0</v>
      </c>
    </row>
    <row r="65" spans="1:17" s="273" customFormat="1" ht="15.75">
      <c r="A65" s="913" t="s">
        <v>453</v>
      </c>
      <c r="B65" s="913"/>
      <c r="C65" s="435" t="s">
        <v>392</v>
      </c>
      <c r="D65" s="436" t="s">
        <v>395</v>
      </c>
      <c r="E65" s="435" t="s">
        <v>400</v>
      </c>
      <c r="F65" s="435" t="s">
        <v>401</v>
      </c>
      <c r="G65" s="435" t="s">
        <v>402</v>
      </c>
      <c r="H65" s="435" t="s">
        <v>403</v>
      </c>
      <c r="I65" s="435" t="s">
        <v>404</v>
      </c>
      <c r="J65" s="435" t="s">
        <v>405</v>
      </c>
      <c r="K65" s="435" t="s">
        <v>406</v>
      </c>
      <c r="L65" s="435" t="s">
        <v>407</v>
      </c>
      <c r="M65" s="435" t="s">
        <v>408</v>
      </c>
      <c r="N65" s="435" t="s">
        <v>409</v>
      </c>
      <c r="O65" s="435" t="s">
        <v>410</v>
      </c>
      <c r="P65" s="435" t="s">
        <v>411</v>
      </c>
      <c r="Q65" s="435" t="s">
        <v>69</v>
      </c>
    </row>
    <row r="66" spans="1:17" s="291" customFormat="1">
      <c r="A66" s="293">
        <v>1</v>
      </c>
      <c r="B66" s="438" t="str">
        <f>'Financial Plan 1397'!B62</f>
        <v xml:space="preserve">Out reach </v>
      </c>
      <c r="C66" s="301"/>
      <c r="D66" s="411">
        <f>'Financial Plan 1397'!H62</f>
        <v>300000</v>
      </c>
      <c r="E66" s="284"/>
      <c r="F66" s="284"/>
      <c r="G66" s="284">
        <f>D66/4</f>
        <v>75000</v>
      </c>
      <c r="H66" s="284">
        <f>D66/4</f>
        <v>75000</v>
      </c>
      <c r="I66" s="284">
        <f>D66/4</f>
        <v>75000</v>
      </c>
      <c r="J66" s="284">
        <f>D66/4</f>
        <v>75000</v>
      </c>
      <c r="K66" s="284"/>
      <c r="L66" s="284"/>
      <c r="M66" s="284"/>
      <c r="N66" s="284"/>
      <c r="O66" s="284"/>
      <c r="P66" s="284"/>
      <c r="Q66" s="275">
        <f t="shared" ref="Q66:Q78" si="34">SUM(E66:P66)-D66</f>
        <v>0</v>
      </c>
    </row>
    <row r="67" spans="1:17" s="291" customFormat="1" ht="30">
      <c r="A67" s="293">
        <v>2</v>
      </c>
      <c r="B67" s="438" t="s">
        <v>454</v>
      </c>
      <c r="C67" s="301" t="s">
        <v>393</v>
      </c>
      <c r="D67" s="411">
        <f>'Financial Plan 1397'!H63</f>
        <v>80000</v>
      </c>
      <c r="E67" s="284"/>
      <c r="F67" s="284"/>
      <c r="G67" s="284"/>
      <c r="H67" s="284">
        <f>D67</f>
        <v>80000</v>
      </c>
      <c r="I67" s="284"/>
      <c r="J67" s="284"/>
      <c r="K67" s="284"/>
      <c r="L67" s="284"/>
      <c r="M67" s="284"/>
      <c r="N67" s="284"/>
      <c r="O67" s="284"/>
      <c r="P67" s="284"/>
      <c r="Q67" s="275">
        <f t="shared" si="34"/>
        <v>0</v>
      </c>
    </row>
    <row r="68" spans="1:17" s="291" customFormat="1">
      <c r="A68" s="293">
        <v>3</v>
      </c>
      <c r="B68" s="438" t="s">
        <v>455</v>
      </c>
      <c r="C68" s="301" t="s">
        <v>159</v>
      </c>
      <c r="D68" s="411">
        <f>'Financial Plan 1397'!H64</f>
        <v>185000</v>
      </c>
      <c r="E68" s="284"/>
      <c r="F68" s="284"/>
      <c r="G68" s="284"/>
      <c r="H68" s="284"/>
      <c r="I68" s="284">
        <f>D68</f>
        <v>185000</v>
      </c>
      <c r="J68" s="284"/>
      <c r="K68" s="284"/>
      <c r="L68" s="284"/>
      <c r="M68" s="284"/>
      <c r="N68" s="284"/>
      <c r="O68" s="284"/>
      <c r="P68" s="284"/>
      <c r="Q68" s="275">
        <f t="shared" si="34"/>
        <v>0</v>
      </c>
    </row>
    <row r="69" spans="1:17" s="291" customFormat="1">
      <c r="A69" s="293">
        <v>4</v>
      </c>
      <c r="B69" s="438" t="s">
        <v>456</v>
      </c>
      <c r="C69" s="301" t="s">
        <v>452</v>
      </c>
      <c r="D69" s="411">
        <f>'Financial Plan 1397'!H65</f>
        <v>60000</v>
      </c>
      <c r="E69" s="284"/>
      <c r="F69" s="284"/>
      <c r="G69" s="284"/>
      <c r="H69" s="318">
        <f>D69/5</f>
        <v>12000</v>
      </c>
      <c r="I69" s="284">
        <f>D69/5</f>
        <v>12000</v>
      </c>
      <c r="J69" s="284">
        <f>D69/5</f>
        <v>12000</v>
      </c>
      <c r="K69" s="284">
        <f>D69/5</f>
        <v>12000</v>
      </c>
      <c r="L69" s="284">
        <f>D69/5</f>
        <v>12000</v>
      </c>
      <c r="M69" s="284"/>
      <c r="N69" s="284"/>
      <c r="O69" s="284"/>
      <c r="P69" s="284"/>
      <c r="Q69" s="275">
        <f t="shared" si="34"/>
        <v>0</v>
      </c>
    </row>
    <row r="70" spans="1:17" s="299" customFormat="1">
      <c r="A70" s="293">
        <v>5</v>
      </c>
      <c r="B70" s="438" t="s">
        <v>457</v>
      </c>
      <c r="C70" s="301" t="s">
        <v>392</v>
      </c>
      <c r="D70" s="411">
        <f>'Financial Plan 1397'!H66</f>
        <v>206500</v>
      </c>
      <c r="E70" s="284"/>
      <c r="F70" s="284"/>
      <c r="G70" s="284"/>
      <c r="H70" s="284"/>
      <c r="I70" s="284">
        <f>D70</f>
        <v>206500</v>
      </c>
      <c r="J70" s="284"/>
      <c r="K70" s="284"/>
      <c r="L70" s="284"/>
      <c r="M70" s="284"/>
      <c r="N70" s="284"/>
      <c r="O70" s="284"/>
      <c r="P70" s="284"/>
      <c r="Q70" s="275">
        <f t="shared" si="34"/>
        <v>0</v>
      </c>
    </row>
    <row r="71" spans="1:17" s="291" customFormat="1">
      <c r="A71" s="293">
        <v>6</v>
      </c>
      <c r="B71" s="438" t="s">
        <v>520</v>
      </c>
      <c r="C71" s="301" t="s">
        <v>393</v>
      </c>
      <c r="D71" s="411">
        <f>'Financial Plan 1397'!H67</f>
        <v>30000</v>
      </c>
      <c r="E71" s="284"/>
      <c r="F71" s="284"/>
      <c r="G71" s="284">
        <f>D71</f>
        <v>30000</v>
      </c>
      <c r="H71" s="284"/>
      <c r="I71" s="284"/>
      <c r="J71" s="284"/>
      <c r="K71" s="284"/>
      <c r="L71" s="284"/>
      <c r="M71" s="284"/>
      <c r="N71" s="284"/>
      <c r="O71" s="284"/>
      <c r="P71" s="284"/>
      <c r="Q71" s="275">
        <f t="shared" si="34"/>
        <v>0</v>
      </c>
    </row>
    <row r="72" spans="1:17" s="291" customFormat="1">
      <c r="A72" s="293">
        <v>7</v>
      </c>
      <c r="B72" s="438" t="s">
        <v>458</v>
      </c>
      <c r="C72" s="301"/>
      <c r="D72" s="411">
        <f>'Financial Plan 1397'!H68</f>
        <v>459999.83</v>
      </c>
      <c r="E72" s="284"/>
      <c r="F72" s="284"/>
      <c r="G72" s="284">
        <f>D72</f>
        <v>459999.83</v>
      </c>
      <c r="H72" s="284"/>
      <c r="I72" s="284"/>
      <c r="J72" s="284"/>
      <c r="K72" s="284"/>
      <c r="L72" s="284"/>
      <c r="M72" s="284"/>
      <c r="N72" s="284"/>
      <c r="O72" s="284"/>
      <c r="P72" s="284"/>
      <c r="Q72" s="275">
        <f t="shared" si="34"/>
        <v>0</v>
      </c>
    </row>
    <row r="73" spans="1:17" s="291" customFormat="1" ht="30">
      <c r="A73" s="293">
        <v>8</v>
      </c>
      <c r="B73" s="438" t="s">
        <v>459</v>
      </c>
      <c r="C73" s="301"/>
      <c r="D73" s="411">
        <f>'Financial Plan 1397'!H69</f>
        <v>2500000</v>
      </c>
      <c r="E73" s="284"/>
      <c r="F73" s="284"/>
      <c r="G73" s="284">
        <f>D73</f>
        <v>2500000</v>
      </c>
      <c r="H73" s="284"/>
      <c r="I73" s="284"/>
      <c r="J73" s="284"/>
      <c r="K73" s="284"/>
      <c r="L73" s="284"/>
      <c r="M73" s="284"/>
      <c r="N73" s="284"/>
      <c r="O73" s="284"/>
      <c r="P73" s="284"/>
      <c r="Q73" s="275">
        <f t="shared" si="34"/>
        <v>0</v>
      </c>
    </row>
    <row r="74" spans="1:17" s="291" customFormat="1">
      <c r="A74" s="293">
        <v>9</v>
      </c>
      <c r="B74" s="438" t="s">
        <v>460</v>
      </c>
      <c r="C74" s="301" t="s">
        <v>392</v>
      </c>
      <c r="D74" s="411">
        <f>'Financial Plan 1397'!H70</f>
        <v>807788</v>
      </c>
      <c r="E74" s="284"/>
      <c r="F74" s="284"/>
      <c r="G74" s="284"/>
      <c r="H74" s="284"/>
      <c r="I74" s="284"/>
      <c r="J74" s="284">
        <f>D74</f>
        <v>807788</v>
      </c>
      <c r="K74" s="284"/>
      <c r="L74" s="284"/>
      <c r="M74" s="284"/>
      <c r="N74" s="284"/>
      <c r="O74" s="284"/>
      <c r="P74" s="284"/>
      <c r="Q74" s="275">
        <f t="shared" si="34"/>
        <v>0</v>
      </c>
    </row>
    <row r="75" spans="1:17" s="291" customFormat="1" ht="30">
      <c r="A75" s="293">
        <v>10</v>
      </c>
      <c r="B75" s="438" t="s">
        <v>461</v>
      </c>
      <c r="C75" s="301" t="s">
        <v>392</v>
      </c>
      <c r="D75" s="411">
        <f>'Financial Plan 1397'!H71</f>
        <v>1825000</v>
      </c>
      <c r="E75" s="284"/>
      <c r="F75" s="284"/>
      <c r="G75" s="284"/>
      <c r="H75" s="284">
        <f>D75</f>
        <v>1825000</v>
      </c>
      <c r="I75" s="284"/>
      <c r="J75" s="284"/>
      <c r="K75" s="284"/>
      <c r="L75" s="284"/>
      <c r="M75" s="284"/>
      <c r="N75" s="284"/>
      <c r="O75" s="284"/>
      <c r="P75" s="284"/>
      <c r="Q75" s="275">
        <f t="shared" si="34"/>
        <v>0</v>
      </c>
    </row>
    <row r="76" spans="1:17" s="291" customFormat="1">
      <c r="A76" s="293">
        <v>11</v>
      </c>
      <c r="B76" s="438" t="s">
        <v>462</v>
      </c>
      <c r="C76" s="301" t="s">
        <v>392</v>
      </c>
      <c r="D76" s="411">
        <f>'Financial Plan 1397'!H72</f>
        <v>2380000</v>
      </c>
      <c r="E76" s="284"/>
      <c r="F76" s="284"/>
      <c r="G76" s="284"/>
      <c r="H76" s="284"/>
      <c r="I76" s="284">
        <f>D76</f>
        <v>2380000</v>
      </c>
      <c r="J76" s="284"/>
      <c r="K76" s="284"/>
      <c r="L76" s="284"/>
      <c r="M76" s="284"/>
      <c r="N76" s="284"/>
      <c r="O76" s="284"/>
      <c r="P76" s="284"/>
      <c r="Q76" s="275">
        <f t="shared" si="34"/>
        <v>0</v>
      </c>
    </row>
    <row r="77" spans="1:17" s="291" customFormat="1" ht="30">
      <c r="A77" s="293">
        <v>12</v>
      </c>
      <c r="B77" s="438" t="s">
        <v>463</v>
      </c>
      <c r="C77" s="301" t="s">
        <v>473</v>
      </c>
      <c r="D77" s="411">
        <f>'Financial Plan 1397'!H73</f>
        <v>150000</v>
      </c>
      <c r="E77" s="284"/>
      <c r="F77" s="284"/>
      <c r="G77" s="284"/>
      <c r="H77" s="284"/>
      <c r="I77" s="284">
        <f>D77</f>
        <v>150000</v>
      </c>
      <c r="J77" s="284"/>
      <c r="K77" s="284"/>
      <c r="L77" s="284"/>
      <c r="M77" s="284"/>
      <c r="N77" s="284"/>
      <c r="O77" s="284"/>
      <c r="P77" s="284"/>
      <c r="Q77" s="275">
        <f t="shared" si="34"/>
        <v>0</v>
      </c>
    </row>
    <row r="78" spans="1:17" s="291" customFormat="1">
      <c r="A78" s="293">
        <v>13</v>
      </c>
      <c r="B78" s="438" t="str">
        <f>'Financial Plan 1397'!B74</f>
        <v>Miscellanous</v>
      </c>
      <c r="C78" s="301"/>
      <c r="D78" s="411">
        <f>'Financial Plan 1397'!H74</f>
        <v>2972656.38</v>
      </c>
      <c r="E78" s="284"/>
      <c r="F78" s="284"/>
      <c r="G78" s="284"/>
      <c r="H78" s="284">
        <f>D78</f>
        <v>2972656.38</v>
      </c>
      <c r="I78" s="284"/>
      <c r="J78" s="284"/>
      <c r="K78" s="284"/>
      <c r="L78" s="284"/>
      <c r="M78" s="284"/>
      <c r="N78" s="284"/>
      <c r="O78" s="284"/>
      <c r="P78" s="284"/>
      <c r="Q78" s="275">
        <f t="shared" si="34"/>
        <v>0</v>
      </c>
    </row>
    <row r="79" spans="1:17" s="281" customFormat="1" ht="15.75">
      <c r="A79" s="911" t="s">
        <v>412</v>
      </c>
      <c r="B79" s="911"/>
      <c r="C79" s="911"/>
      <c r="D79" s="412">
        <f>SUM(D66:D78)</f>
        <v>11956944.210000001</v>
      </c>
      <c r="E79" s="387"/>
      <c r="F79" s="387">
        <f t="shared" ref="F79:Q79" si="35">SUM(F66:F78)</f>
        <v>0</v>
      </c>
      <c r="G79" s="387">
        <f t="shared" si="35"/>
        <v>3064999.83</v>
      </c>
      <c r="H79" s="387">
        <f t="shared" si="35"/>
        <v>4964656.38</v>
      </c>
      <c r="I79" s="387">
        <f t="shared" si="35"/>
        <v>3008500</v>
      </c>
      <c r="J79" s="387">
        <f t="shared" si="35"/>
        <v>894788</v>
      </c>
      <c r="K79" s="387">
        <f t="shared" si="35"/>
        <v>12000</v>
      </c>
      <c r="L79" s="387">
        <f t="shared" si="35"/>
        <v>12000</v>
      </c>
      <c r="M79" s="387">
        <f t="shared" si="35"/>
        <v>0</v>
      </c>
      <c r="N79" s="387">
        <f t="shared" si="35"/>
        <v>0</v>
      </c>
      <c r="O79" s="387">
        <f t="shared" si="35"/>
        <v>0</v>
      </c>
      <c r="P79" s="387">
        <f t="shared" si="35"/>
        <v>0</v>
      </c>
      <c r="Q79" s="388">
        <f t="shared" si="35"/>
        <v>0</v>
      </c>
    </row>
    <row r="80" spans="1:17" s="273" customFormat="1" ht="15.75">
      <c r="A80" s="910" t="s">
        <v>474</v>
      </c>
      <c r="B80" s="910"/>
      <c r="C80" s="910"/>
      <c r="D80" s="413">
        <f>D15+D32+D41+D64+D52+D79</f>
        <v>136660799.99761903</v>
      </c>
      <c r="E80" s="385">
        <f t="shared" ref="E80:P80" si="36">E15+E32+E41+E52+E64+E79</f>
        <v>1470879</v>
      </c>
      <c r="F80" s="385">
        <f t="shared" si="36"/>
        <v>1470879</v>
      </c>
      <c r="G80" s="385">
        <f t="shared" si="36"/>
        <v>14648407.353809524</v>
      </c>
      <c r="H80" s="385">
        <f t="shared" si="36"/>
        <v>29013645.732380953</v>
      </c>
      <c r="I80" s="385">
        <f t="shared" si="36"/>
        <v>21177038.694897961</v>
      </c>
      <c r="J80" s="385">
        <f t="shared" si="36"/>
        <v>8283361.5448979586</v>
      </c>
      <c r="K80" s="385">
        <f t="shared" si="36"/>
        <v>25130757.294897962</v>
      </c>
      <c r="L80" s="385">
        <f t="shared" si="36"/>
        <v>14301921.54489796</v>
      </c>
      <c r="M80" s="385">
        <f t="shared" si="36"/>
        <v>7289396.2848979589</v>
      </c>
      <c r="N80" s="385">
        <f t="shared" si="36"/>
        <v>4507853.4277551025</v>
      </c>
      <c r="O80" s="385">
        <f t="shared" si="36"/>
        <v>5739324.1058503408</v>
      </c>
      <c r="P80" s="385">
        <f t="shared" si="36"/>
        <v>3627336.0133333337</v>
      </c>
      <c r="Q80" s="385">
        <f>Q15+Q32+Q41+Q52+Q79</f>
        <v>0</v>
      </c>
    </row>
    <row r="81" spans="1:17" s="273" customFormat="1" ht="15.75">
      <c r="A81" s="909" t="s">
        <v>475</v>
      </c>
      <c r="B81" s="909"/>
      <c r="C81" s="909"/>
      <c r="D81" s="414">
        <f>D80/68.34</f>
        <v>1999719.0517649844</v>
      </c>
      <c r="E81" s="386">
        <f t="shared" ref="E81:Q81" si="37">E80/68.34</f>
        <v>21522.958735733097</v>
      </c>
      <c r="F81" s="386">
        <f t="shared" si="37"/>
        <v>21522.958735733097</v>
      </c>
      <c r="G81" s="386">
        <f t="shared" si="37"/>
        <v>214346.02507769276</v>
      </c>
      <c r="H81" s="386">
        <f t="shared" si="37"/>
        <v>424548.51817941107</v>
      </c>
      <c r="I81" s="386">
        <f t="shared" si="37"/>
        <v>309877.65137398243</v>
      </c>
      <c r="J81" s="386">
        <f t="shared" si="37"/>
        <v>121208.09986681238</v>
      </c>
      <c r="K81" s="386">
        <f t="shared" si="37"/>
        <v>367731.30370058474</v>
      </c>
      <c r="L81" s="386">
        <f t="shared" si="37"/>
        <v>209275.99568185484</v>
      </c>
      <c r="M81" s="386">
        <f t="shared" si="37"/>
        <v>106663.68576087151</v>
      </c>
      <c r="N81" s="386">
        <f t="shared" si="37"/>
        <v>65962.151415790198</v>
      </c>
      <c r="O81" s="386">
        <f t="shared" si="37"/>
        <v>83981.915508491962</v>
      </c>
      <c r="P81" s="386">
        <f t="shared" si="37"/>
        <v>53077.787728026538</v>
      </c>
      <c r="Q81" s="386">
        <f t="shared" si="37"/>
        <v>0</v>
      </c>
    </row>
    <row r="82" spans="1:17" s="425" customFormat="1" ht="30.75" customHeight="1">
      <c r="A82" s="850" t="s">
        <v>546</v>
      </c>
      <c r="B82" s="850"/>
      <c r="C82" s="417"/>
      <c r="D82" s="851" t="s">
        <v>547</v>
      </c>
      <c r="E82" s="851"/>
      <c r="F82" s="176"/>
      <c r="G82" s="851" t="s">
        <v>467</v>
      </c>
      <c r="H82" s="851"/>
      <c r="I82" s="244"/>
      <c r="J82" s="420"/>
      <c r="K82" s="851" t="s">
        <v>548</v>
      </c>
      <c r="L82" s="851"/>
      <c r="M82" s="421"/>
      <c r="N82" s="851" t="s">
        <v>553</v>
      </c>
      <c r="O82" s="851"/>
      <c r="P82" s="423"/>
      <c r="Q82" s="424"/>
    </row>
    <row r="83" spans="1:17" s="425" customFormat="1" ht="18.75">
      <c r="A83" s="417"/>
      <c r="B83" s="418" t="s">
        <v>465</v>
      </c>
      <c r="C83" s="417"/>
      <c r="D83" s="830" t="s">
        <v>466</v>
      </c>
      <c r="E83" s="830"/>
      <c r="F83" s="176"/>
      <c r="G83" s="415" t="s">
        <v>468</v>
      </c>
      <c r="H83" s="176"/>
      <c r="I83" s="244"/>
      <c r="J83" s="420"/>
      <c r="K83" s="775" t="s">
        <v>549</v>
      </c>
      <c r="L83" s="775"/>
      <c r="M83" s="421"/>
      <c r="N83" s="775" t="s">
        <v>551</v>
      </c>
      <c r="O83" s="775"/>
      <c r="P83" s="271"/>
      <c r="Q83" s="424"/>
    </row>
    <row r="84" spans="1:17" s="425" customFormat="1" ht="40.5" customHeight="1">
      <c r="A84" s="417"/>
      <c r="B84" s="426" t="s">
        <v>556</v>
      </c>
      <c r="C84" s="269"/>
      <c r="D84" s="826" t="s">
        <v>476</v>
      </c>
      <c r="E84" s="826"/>
      <c r="F84" s="269"/>
      <c r="G84" s="326" t="s">
        <v>469</v>
      </c>
      <c r="H84" s="427"/>
      <c r="I84" s="384"/>
      <c r="J84" s="434"/>
      <c r="K84" s="825" t="s">
        <v>550</v>
      </c>
      <c r="L84" s="825"/>
      <c r="M84" s="421"/>
      <c r="N84" s="833" t="s">
        <v>552</v>
      </c>
      <c r="O84" s="833"/>
      <c r="P84" s="833"/>
      <c r="Q84" s="833"/>
    </row>
    <row r="85" spans="1:17" s="433" customFormat="1" ht="18.75">
      <c r="A85" s="578"/>
      <c r="B85" s="454"/>
      <c r="C85" s="579"/>
      <c r="D85" s="580"/>
      <c r="E85" s="579"/>
      <c r="F85" s="579"/>
      <c r="G85" s="271" t="s">
        <v>470</v>
      </c>
      <c r="H85" s="581"/>
      <c r="I85" s="326"/>
      <c r="J85" s="582"/>
      <c r="K85" s="582"/>
      <c r="L85" s="271"/>
      <c r="M85" s="583"/>
      <c r="N85" s="833" t="s">
        <v>472</v>
      </c>
      <c r="O85" s="833"/>
      <c r="P85" s="833"/>
      <c r="Q85" s="584"/>
    </row>
    <row r="86" spans="1:17" s="433" customFormat="1" ht="18.75">
      <c r="A86" s="785"/>
      <c r="B86" s="785"/>
      <c r="C86" s="271"/>
      <c r="D86" s="326"/>
      <c r="E86" s="271"/>
      <c r="F86" s="271"/>
      <c r="G86" s="271" t="s">
        <v>471</v>
      </c>
      <c r="H86" s="325"/>
      <c r="I86" s="271"/>
      <c r="J86" s="325"/>
      <c r="K86" s="325"/>
      <c r="L86" s="323"/>
      <c r="M86" s="430"/>
      <c r="N86" s="833" t="s">
        <v>554</v>
      </c>
      <c r="O86" s="833"/>
      <c r="P86" s="833"/>
      <c r="Q86" s="833"/>
    </row>
    <row r="87" spans="1:17" ht="18.75">
      <c r="N87" s="849" t="s">
        <v>555</v>
      </c>
      <c r="O87" s="849"/>
      <c r="P87" s="849"/>
      <c r="Q87" s="849"/>
    </row>
  </sheetData>
  <mergeCells count="35">
    <mergeCell ref="N86:Q86"/>
    <mergeCell ref="N87:Q87"/>
    <mergeCell ref="L4:N4"/>
    <mergeCell ref="N82:O82"/>
    <mergeCell ref="N83:O83"/>
    <mergeCell ref="N84:Q84"/>
    <mergeCell ref="A1:Q1"/>
    <mergeCell ref="E4:J4"/>
    <mergeCell ref="A33:B33"/>
    <mergeCell ref="A16:B16"/>
    <mergeCell ref="A65:B65"/>
    <mergeCell ref="A53:B53"/>
    <mergeCell ref="A15:C15"/>
    <mergeCell ref="A32:C32"/>
    <mergeCell ref="A52:C52"/>
    <mergeCell ref="A64:C64"/>
    <mergeCell ref="A41:C41"/>
    <mergeCell ref="A42:B42"/>
    <mergeCell ref="C53:D53"/>
    <mergeCell ref="A86:B86"/>
    <mergeCell ref="A5:Q5"/>
    <mergeCell ref="A3:Q3"/>
    <mergeCell ref="A2:Q2"/>
    <mergeCell ref="A81:C81"/>
    <mergeCell ref="A80:C80"/>
    <mergeCell ref="A79:C79"/>
    <mergeCell ref="A82:B82"/>
    <mergeCell ref="D82:E82"/>
    <mergeCell ref="G82:H82"/>
    <mergeCell ref="K82:L82"/>
    <mergeCell ref="D83:E83"/>
    <mergeCell ref="D84:E84"/>
    <mergeCell ref="K83:L83"/>
    <mergeCell ref="K84:L84"/>
    <mergeCell ref="N85:P85"/>
  </mergeCells>
  <printOptions horizontalCentered="1"/>
  <pageMargins left="0.30625000000000002" right="0.32" top="0.54356060606060597" bottom="0.21" header="0.13257575757575801" footer="0.17"/>
  <pageSetup scale="45" orientation="landscape" r:id="rId1"/>
  <rowBreaks count="1" manualBreakCount="1">
    <brk id="50" max="16" man="1"/>
  </rowBreaks>
  <ignoredErrors>
    <ignoredError sqref="I69" formula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10"/>
  <sheetViews>
    <sheetView view="pageBreakPreview" zoomScale="60" zoomScaleNormal="80" workbookViewId="0">
      <selection activeCell="F19" sqref="F19"/>
    </sheetView>
  </sheetViews>
  <sheetFormatPr defaultRowHeight="15"/>
  <cols>
    <col min="3" max="3" width="38.25" customWidth="1"/>
    <col min="4" max="4" width="15.375" customWidth="1"/>
    <col min="5" max="5" width="14.25" customWidth="1"/>
    <col min="6" max="6" width="17.75" customWidth="1"/>
    <col min="7" max="7" width="12.125" customWidth="1"/>
    <col min="8" max="8" width="17.875" customWidth="1"/>
    <col min="9" max="9" width="13.375" customWidth="1"/>
  </cols>
  <sheetData>
    <row r="1" spans="1:9" ht="35.25" customHeight="1">
      <c r="A1" s="918" t="s">
        <v>155</v>
      </c>
      <c r="B1" s="918"/>
      <c r="C1" s="918"/>
      <c r="D1" s="918"/>
      <c r="E1" s="918"/>
      <c r="F1" s="918"/>
      <c r="G1" s="918"/>
      <c r="H1" s="918"/>
      <c r="I1" s="918"/>
    </row>
    <row r="2" spans="1:9" ht="15" customHeight="1">
      <c r="A2" s="919" t="s">
        <v>64</v>
      </c>
      <c r="B2" s="920" t="s">
        <v>65</v>
      </c>
      <c r="C2" s="920"/>
      <c r="D2" s="921" t="s">
        <v>66</v>
      </c>
      <c r="E2" s="920" t="s">
        <v>74</v>
      </c>
      <c r="F2" s="921" t="s">
        <v>75</v>
      </c>
      <c r="G2" s="921" t="s">
        <v>156</v>
      </c>
      <c r="H2" s="921" t="s">
        <v>67</v>
      </c>
      <c r="I2" s="921" t="s">
        <v>68</v>
      </c>
    </row>
    <row r="3" spans="1:9" ht="21.75" customHeight="1">
      <c r="A3" s="919"/>
      <c r="B3" s="920"/>
      <c r="C3" s="920"/>
      <c r="D3" s="921"/>
      <c r="E3" s="920"/>
      <c r="F3" s="921"/>
      <c r="G3" s="920"/>
      <c r="H3" s="921"/>
      <c r="I3" s="921"/>
    </row>
    <row r="4" spans="1:9" ht="29.25" customHeight="1">
      <c r="A4" s="88">
        <v>1</v>
      </c>
      <c r="B4" s="924" t="s">
        <v>157</v>
      </c>
      <c r="C4" s="925"/>
      <c r="D4" s="89" t="s">
        <v>71</v>
      </c>
      <c r="E4" s="77">
        <f>12*4</f>
        <v>48</v>
      </c>
      <c r="F4" s="77">
        <f>1*30*400</f>
        <v>12000</v>
      </c>
      <c r="G4" s="77">
        <v>36</v>
      </c>
      <c r="H4" s="77">
        <f>G4*F4*E4</f>
        <v>20736000</v>
      </c>
      <c r="I4" s="77">
        <f t="shared" ref="I4:I9" si="0">H4/63</f>
        <v>329142.85714285716</v>
      </c>
    </row>
    <row r="5" spans="1:9" ht="29.25" customHeight="1">
      <c r="A5" s="88">
        <v>2</v>
      </c>
      <c r="B5" s="924" t="s">
        <v>158</v>
      </c>
      <c r="C5" s="925"/>
      <c r="D5" s="89" t="s">
        <v>71</v>
      </c>
      <c r="E5" s="77">
        <f>6*4</f>
        <v>24</v>
      </c>
      <c r="F5" s="77">
        <f>1*30*400</f>
        <v>12000</v>
      </c>
      <c r="G5" s="77">
        <v>4</v>
      </c>
      <c r="H5" s="77">
        <f>G5*F5*E5</f>
        <v>1152000</v>
      </c>
      <c r="I5" s="77">
        <f t="shared" si="0"/>
        <v>18285.714285714286</v>
      </c>
    </row>
    <row r="6" spans="1:9" ht="33" customHeight="1">
      <c r="A6" s="88">
        <v>3</v>
      </c>
      <c r="B6" s="926" t="s">
        <v>176</v>
      </c>
      <c r="C6" s="927"/>
      <c r="D6" s="89" t="s">
        <v>71</v>
      </c>
      <c r="E6" s="77">
        <f>8*4</f>
        <v>32</v>
      </c>
      <c r="F6" s="77">
        <f>1*30*400</f>
        <v>12000</v>
      </c>
      <c r="G6" s="77">
        <v>56</v>
      </c>
      <c r="H6" s="77">
        <f>G6*F6*E6</f>
        <v>21504000</v>
      </c>
      <c r="I6" s="77">
        <f t="shared" si="0"/>
        <v>341333.33333333331</v>
      </c>
    </row>
    <row r="7" spans="1:9" ht="33" customHeight="1">
      <c r="A7" s="88">
        <v>4</v>
      </c>
      <c r="B7" s="924" t="s">
        <v>76</v>
      </c>
      <c r="C7" s="925"/>
      <c r="D7" s="89" t="s">
        <v>159</v>
      </c>
      <c r="E7" s="77">
        <f>20000*4</f>
        <v>80000</v>
      </c>
      <c r="F7" s="77">
        <v>55</v>
      </c>
      <c r="G7" s="77"/>
      <c r="H7" s="77">
        <f>F7*E7</f>
        <v>4400000</v>
      </c>
      <c r="I7" s="77">
        <f t="shared" si="0"/>
        <v>69841.269841269837</v>
      </c>
    </row>
    <row r="8" spans="1:9" ht="33" customHeight="1">
      <c r="A8" s="88">
        <v>5</v>
      </c>
      <c r="B8" s="924" t="s">
        <v>160</v>
      </c>
      <c r="C8" s="925"/>
      <c r="D8" s="89" t="s">
        <v>161</v>
      </c>
      <c r="E8" s="77">
        <v>4</v>
      </c>
      <c r="F8" s="77">
        <v>500000</v>
      </c>
      <c r="G8" s="77"/>
      <c r="H8" s="77">
        <f>F8*E8</f>
        <v>2000000</v>
      </c>
      <c r="I8" s="77">
        <f t="shared" si="0"/>
        <v>31746.031746031746</v>
      </c>
    </row>
    <row r="9" spans="1:9" ht="33" customHeight="1">
      <c r="A9" s="88">
        <v>6</v>
      </c>
      <c r="B9" s="924" t="s">
        <v>77</v>
      </c>
      <c r="C9" s="925"/>
      <c r="D9" s="89" t="s">
        <v>161</v>
      </c>
      <c r="E9" s="77">
        <v>4</v>
      </c>
      <c r="F9" s="77">
        <v>500000</v>
      </c>
      <c r="G9" s="77"/>
      <c r="H9" s="77">
        <f>F9*E9</f>
        <v>2000000</v>
      </c>
      <c r="I9" s="77">
        <f t="shared" si="0"/>
        <v>31746.031746031746</v>
      </c>
    </row>
    <row r="10" spans="1:9" ht="29.25" customHeight="1">
      <c r="A10" s="922" t="s">
        <v>70</v>
      </c>
      <c r="B10" s="923"/>
      <c r="C10" s="923"/>
      <c r="D10" s="90"/>
      <c r="E10" s="90"/>
      <c r="F10" s="90"/>
      <c r="G10" s="79">
        <f>SUM(G4:G6)</f>
        <v>96</v>
      </c>
      <c r="H10" s="79">
        <f>SUM(H4:H8)</f>
        <v>49792000</v>
      </c>
      <c r="I10" s="79">
        <f>SUM(I4:I8)</f>
        <v>790349.20634920627</v>
      </c>
    </row>
  </sheetData>
  <mergeCells count="16">
    <mergeCell ref="A10:C10"/>
    <mergeCell ref="B4:C4"/>
    <mergeCell ref="B5:C5"/>
    <mergeCell ref="B6:C6"/>
    <mergeCell ref="B7:C7"/>
    <mergeCell ref="B8:C8"/>
    <mergeCell ref="B9:C9"/>
    <mergeCell ref="A1:I1"/>
    <mergeCell ref="A2:A3"/>
    <mergeCell ref="B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scale="6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T17"/>
  <sheetViews>
    <sheetView workbookViewId="0">
      <selection sqref="A1:M1"/>
    </sheetView>
  </sheetViews>
  <sheetFormatPr defaultRowHeight="15"/>
  <cols>
    <col min="1" max="1" width="22.75" customWidth="1"/>
    <col min="2" max="2" width="11.125" customWidth="1"/>
    <col min="3" max="3" width="11.125" style="120" customWidth="1"/>
    <col min="4" max="4" width="11.125" customWidth="1"/>
    <col min="5" max="5" width="11.125" style="120" customWidth="1"/>
    <col min="6" max="7" width="11.125" customWidth="1"/>
    <col min="8" max="8" width="12.75" customWidth="1"/>
    <col min="9" max="9" width="12.375" customWidth="1"/>
    <col min="10" max="11" width="14.25" customWidth="1"/>
    <col min="12" max="12" width="11.75" customWidth="1"/>
    <col min="13" max="13" width="13.125" customWidth="1"/>
    <col min="15" max="15" width="28.25" customWidth="1"/>
    <col min="16" max="16" width="9.75" customWidth="1"/>
    <col min="17" max="18" width="11" customWidth="1"/>
    <col min="19" max="19" width="17.75" customWidth="1"/>
    <col min="20" max="20" width="15.875" customWidth="1"/>
  </cols>
  <sheetData>
    <row r="1" spans="1:20" ht="21.75" customHeight="1">
      <c r="A1" s="936" t="s">
        <v>162</v>
      </c>
      <c r="B1" s="937"/>
      <c r="C1" s="937"/>
      <c r="D1" s="937"/>
      <c r="E1" s="937"/>
      <c r="F1" s="937"/>
      <c r="G1" s="937"/>
      <c r="H1" s="937"/>
      <c r="I1" s="937"/>
      <c r="J1" s="937"/>
      <c r="K1" s="937"/>
      <c r="L1" s="937"/>
      <c r="M1" s="937"/>
      <c r="O1" s="938" t="s">
        <v>163</v>
      </c>
      <c r="P1" s="938"/>
      <c r="Q1" s="938"/>
      <c r="R1" s="938"/>
      <c r="S1" s="938"/>
      <c r="T1" s="938"/>
    </row>
    <row r="2" spans="1:20" ht="23.25" customHeight="1">
      <c r="A2" s="939" t="s">
        <v>164</v>
      </c>
      <c r="B2" s="91" t="s">
        <v>65</v>
      </c>
      <c r="C2" s="92"/>
      <c r="D2" s="92"/>
      <c r="E2" s="92"/>
      <c r="F2" s="92"/>
      <c r="G2" s="92"/>
      <c r="H2" s="92"/>
      <c r="I2" s="940" t="s">
        <v>154</v>
      </c>
      <c r="J2" s="942" t="s">
        <v>165</v>
      </c>
      <c r="K2" s="942" t="s">
        <v>67</v>
      </c>
      <c r="L2" s="942" t="s">
        <v>68</v>
      </c>
      <c r="M2" s="944" t="s">
        <v>69</v>
      </c>
      <c r="O2" s="945" t="s">
        <v>65</v>
      </c>
      <c r="P2" s="945" t="s">
        <v>66</v>
      </c>
      <c r="Q2" s="945" t="s">
        <v>175</v>
      </c>
      <c r="R2" s="945"/>
      <c r="S2" s="945" t="s">
        <v>166</v>
      </c>
      <c r="T2" s="945"/>
    </row>
    <row r="3" spans="1:20" ht="23.25" customHeight="1">
      <c r="A3" s="939"/>
      <c r="B3" s="93"/>
      <c r="C3" s="94"/>
      <c r="D3" s="94"/>
      <c r="E3" s="94"/>
      <c r="F3" s="94"/>
      <c r="G3" s="94"/>
      <c r="H3" s="94"/>
      <c r="I3" s="941"/>
      <c r="J3" s="943"/>
      <c r="K3" s="942"/>
      <c r="L3" s="942"/>
      <c r="M3" s="944"/>
      <c r="O3" s="945"/>
      <c r="P3" s="945"/>
      <c r="Q3" s="95" t="s">
        <v>167</v>
      </c>
      <c r="R3" s="95" t="s">
        <v>168</v>
      </c>
      <c r="S3" s="95" t="s">
        <v>167</v>
      </c>
      <c r="T3" s="95" t="s">
        <v>168</v>
      </c>
    </row>
    <row r="4" spans="1:20" ht="35.25" customHeight="1">
      <c r="A4" s="928">
        <v>550</v>
      </c>
      <c r="B4" s="929" t="s">
        <v>196</v>
      </c>
      <c r="C4" s="930"/>
      <c r="D4" s="930"/>
      <c r="E4" s="930"/>
      <c r="F4" s="930"/>
      <c r="G4" s="930"/>
      <c r="H4" s="931"/>
      <c r="I4" s="96"/>
      <c r="J4" s="97">
        <v>10000</v>
      </c>
      <c r="K4" s="97">
        <v>591828.04761904769</v>
      </c>
      <c r="L4" s="98">
        <f>K4/63</f>
        <v>9394.0959939531385</v>
      </c>
      <c r="M4" s="99"/>
      <c r="O4" s="100" t="s">
        <v>169</v>
      </c>
      <c r="P4" s="101" t="s">
        <v>170</v>
      </c>
      <c r="Q4" s="101">
        <v>144</v>
      </c>
      <c r="R4" s="102">
        <f>Q4*6</f>
        <v>864</v>
      </c>
      <c r="S4" s="102">
        <f>Q4*8</f>
        <v>1152</v>
      </c>
      <c r="T4" s="102">
        <f>S4*6</f>
        <v>6912</v>
      </c>
    </row>
    <row r="5" spans="1:20" ht="33" customHeight="1">
      <c r="A5" s="928"/>
      <c r="B5" s="929" t="s">
        <v>197</v>
      </c>
      <c r="C5" s="930"/>
      <c r="D5" s="930"/>
      <c r="E5" s="930"/>
      <c r="F5" s="930"/>
      <c r="G5" s="930"/>
      <c r="H5" s="931"/>
      <c r="I5" s="97">
        <v>88</v>
      </c>
      <c r="J5" s="103">
        <v>131441.33333333334</v>
      </c>
      <c r="K5" s="103">
        <v>145684833.33333334</v>
      </c>
      <c r="L5" s="103">
        <f>K5/63</f>
        <v>2312457.6719576721</v>
      </c>
      <c r="M5" s="99"/>
      <c r="O5" s="100" t="s">
        <v>171</v>
      </c>
      <c r="P5" s="101" t="s">
        <v>172</v>
      </c>
      <c r="Q5" s="102">
        <v>628832</v>
      </c>
      <c r="R5" s="102">
        <f>Q5*6</f>
        <v>3772992</v>
      </c>
      <c r="S5" s="102">
        <f>10000*Q5/2000</f>
        <v>3144160</v>
      </c>
      <c r="T5" s="102">
        <f>S5*6</f>
        <v>18864960</v>
      </c>
    </row>
    <row r="6" spans="1:20" ht="31.5" customHeight="1">
      <c r="A6" s="104">
        <v>1000</v>
      </c>
      <c r="B6" s="932" t="s">
        <v>173</v>
      </c>
      <c r="C6" s="933"/>
      <c r="D6" s="933"/>
      <c r="E6" s="933"/>
      <c r="F6" s="933"/>
      <c r="G6" s="933"/>
      <c r="H6" s="934"/>
      <c r="I6" s="103">
        <f>I5*2-18</f>
        <v>158</v>
      </c>
      <c r="J6" s="105">
        <f>A6*J5/A4</f>
        <v>238984.24242424243</v>
      </c>
      <c r="K6" s="103">
        <f>A6*K5/A4</f>
        <v>264881515.15151516</v>
      </c>
      <c r="L6" s="103">
        <f>K6/63</f>
        <v>4204468.4944684943</v>
      </c>
      <c r="M6" s="99"/>
    </row>
    <row r="7" spans="1:20" ht="31.5" customHeight="1">
      <c r="A7" s="104">
        <v>10000</v>
      </c>
      <c r="B7" s="932" t="s">
        <v>174</v>
      </c>
      <c r="C7" s="933"/>
      <c r="D7" s="933"/>
      <c r="E7" s="933"/>
      <c r="F7" s="933"/>
      <c r="G7" s="933"/>
      <c r="H7" s="934"/>
      <c r="I7" s="97">
        <f>I6*10</f>
        <v>1580</v>
      </c>
      <c r="J7" s="103">
        <f>J6*10</f>
        <v>2389842.4242424243</v>
      </c>
      <c r="K7" s="103">
        <f>K6*10</f>
        <v>2648815151.5151515</v>
      </c>
      <c r="L7" s="103">
        <f>L6*10</f>
        <v>42044684.944684945</v>
      </c>
      <c r="M7" s="103">
        <f>15174603-L7</f>
        <v>-26870081.944684945</v>
      </c>
    </row>
    <row r="8" spans="1:20">
      <c r="S8">
        <f>146516*11</f>
        <v>1611676</v>
      </c>
      <c r="T8">
        <f>86*7</f>
        <v>602</v>
      </c>
    </row>
    <row r="9" spans="1:20" ht="15.75" thickBot="1"/>
    <row r="10" spans="1:20" ht="28.5" customHeight="1" thickBot="1">
      <c r="A10" s="935" t="s">
        <v>195</v>
      </c>
      <c r="B10" s="935"/>
      <c r="C10" s="935"/>
      <c r="D10" s="935"/>
      <c r="E10" s="935"/>
      <c r="F10" s="935"/>
      <c r="G10" s="935"/>
      <c r="H10" s="935"/>
      <c r="I10" s="935"/>
      <c r="J10" s="935"/>
      <c r="K10" s="935"/>
    </row>
    <row r="11" spans="1:20" ht="41.25" customHeight="1" thickBot="1">
      <c r="A11" s="125" t="s">
        <v>178</v>
      </c>
      <c r="B11" s="125" t="s">
        <v>66</v>
      </c>
      <c r="C11" s="125" t="s">
        <v>180</v>
      </c>
      <c r="D11" s="125" t="s">
        <v>191</v>
      </c>
      <c r="E11" s="126" t="s">
        <v>190</v>
      </c>
      <c r="F11" s="125" t="s">
        <v>182</v>
      </c>
      <c r="G11" s="125" t="s">
        <v>192</v>
      </c>
      <c r="H11" s="125" t="s">
        <v>193</v>
      </c>
      <c r="I11" s="125" t="s">
        <v>189</v>
      </c>
      <c r="J11" s="125" t="s">
        <v>194</v>
      </c>
      <c r="K11" s="125" t="s">
        <v>181</v>
      </c>
    </row>
    <row r="12" spans="1:20" ht="15.75" thickBot="1">
      <c r="A12" s="121" t="s">
        <v>179</v>
      </c>
      <c r="B12" s="121" t="s">
        <v>72</v>
      </c>
      <c r="C12" s="122">
        <v>1000</v>
      </c>
      <c r="D12" s="122">
        <v>17</v>
      </c>
      <c r="E12" s="123">
        <f>400/D12</f>
        <v>23.529411764705884</v>
      </c>
      <c r="F12" s="122">
        <v>500</v>
      </c>
      <c r="G12" s="122">
        <f>C12-F12</f>
        <v>500</v>
      </c>
      <c r="H12" s="124">
        <f>C12*D12</f>
        <v>17000</v>
      </c>
      <c r="I12" s="124">
        <f>F12*D12</f>
        <v>8500</v>
      </c>
      <c r="J12" s="124">
        <f>H12-I12</f>
        <v>8500</v>
      </c>
      <c r="K12" s="121"/>
    </row>
    <row r="13" spans="1:20" ht="15.75" thickBot="1">
      <c r="A13" s="121" t="s">
        <v>183</v>
      </c>
      <c r="B13" s="121" t="s">
        <v>186</v>
      </c>
      <c r="C13" s="122">
        <v>500</v>
      </c>
      <c r="D13" s="123">
        <f>400/60</f>
        <v>6.666666666666667</v>
      </c>
      <c r="E13" s="123">
        <f t="shared" ref="E13:E15" si="0">400/D13</f>
        <v>60</v>
      </c>
      <c r="F13" s="122">
        <v>250</v>
      </c>
      <c r="G13" s="122">
        <f>C13-F13</f>
        <v>250</v>
      </c>
      <c r="H13" s="124">
        <f t="shared" ref="H13:H15" si="1">C13*D13</f>
        <v>3333.3333333333335</v>
      </c>
      <c r="I13" s="124">
        <f t="shared" ref="I13:I15" si="2">F13*D13</f>
        <v>1666.6666666666667</v>
      </c>
      <c r="J13" s="124">
        <f t="shared" ref="J13:J17" si="3">H13-I13</f>
        <v>1666.6666666666667</v>
      </c>
      <c r="K13" s="121"/>
    </row>
    <row r="14" spans="1:20" ht="15.75" thickBot="1">
      <c r="A14" s="121" t="s">
        <v>184</v>
      </c>
      <c r="B14" s="121" t="s">
        <v>187</v>
      </c>
      <c r="C14" s="122">
        <v>100</v>
      </c>
      <c r="D14" s="122">
        <f>400/1</f>
        <v>400</v>
      </c>
      <c r="E14" s="123">
        <f t="shared" si="0"/>
        <v>1</v>
      </c>
      <c r="F14" s="122">
        <v>50</v>
      </c>
      <c r="G14" s="122">
        <f>C14-F14</f>
        <v>50</v>
      </c>
      <c r="H14" s="124">
        <f>C14*D14</f>
        <v>40000</v>
      </c>
      <c r="I14" s="124">
        <f t="shared" si="2"/>
        <v>20000</v>
      </c>
      <c r="J14" s="124">
        <f t="shared" si="3"/>
        <v>20000</v>
      </c>
      <c r="K14" s="121"/>
    </row>
    <row r="15" spans="1:20" ht="15.75" thickBot="1">
      <c r="A15" s="121" t="s">
        <v>185</v>
      </c>
      <c r="B15" s="121" t="s">
        <v>188</v>
      </c>
      <c r="C15" s="122">
        <v>500</v>
      </c>
      <c r="D15" s="122">
        <f>40/20</f>
        <v>2</v>
      </c>
      <c r="E15" s="123">
        <f t="shared" si="0"/>
        <v>200</v>
      </c>
      <c r="F15" s="122">
        <v>25</v>
      </c>
      <c r="G15" s="122">
        <f>C15-F15</f>
        <v>475</v>
      </c>
      <c r="H15" s="124">
        <f t="shared" si="1"/>
        <v>1000</v>
      </c>
      <c r="I15" s="124">
        <f t="shared" si="2"/>
        <v>50</v>
      </c>
      <c r="J15" s="124">
        <f t="shared" si="3"/>
        <v>950</v>
      </c>
      <c r="K15" s="121"/>
    </row>
    <row r="16" spans="1:20" ht="15.75" thickBot="1">
      <c r="A16" s="121"/>
      <c r="B16" s="121"/>
      <c r="C16" s="121"/>
      <c r="D16" s="121"/>
      <c r="E16" s="121"/>
      <c r="F16" s="121"/>
      <c r="G16" s="121"/>
      <c r="H16" s="124">
        <f>SUM(H12:H15)</f>
        <v>61333.333333333328</v>
      </c>
      <c r="I16" s="127">
        <f>SUM(I12:I15)</f>
        <v>30216.666666666664</v>
      </c>
      <c r="J16" s="127">
        <f>SUM(J12:J15)</f>
        <v>31116.666666666664</v>
      </c>
      <c r="K16" s="121"/>
    </row>
    <row r="17" spans="1:11" ht="15.75" thickBot="1">
      <c r="A17" s="121"/>
      <c r="B17" s="121"/>
      <c r="C17" s="121"/>
      <c r="D17" s="121"/>
      <c r="E17" s="121"/>
      <c r="F17" s="121"/>
      <c r="G17" s="121"/>
      <c r="H17" s="121"/>
      <c r="I17" s="121"/>
      <c r="J17" s="121">
        <f t="shared" si="3"/>
        <v>0</v>
      </c>
      <c r="K17" s="121"/>
    </row>
  </sheetData>
  <mergeCells count="18">
    <mergeCell ref="A1:M1"/>
    <mergeCell ref="O1:T1"/>
    <mergeCell ref="A2:A3"/>
    <mergeCell ref="I2:I3"/>
    <mergeCell ref="J2:J3"/>
    <mergeCell ref="K2:K3"/>
    <mergeCell ref="L2:L3"/>
    <mergeCell ref="M2:M3"/>
    <mergeCell ref="O2:O3"/>
    <mergeCell ref="P2:P3"/>
    <mergeCell ref="Q2:R2"/>
    <mergeCell ref="S2:T2"/>
    <mergeCell ref="A4:A5"/>
    <mergeCell ref="B4:H4"/>
    <mergeCell ref="B5:H5"/>
    <mergeCell ref="B6:H6"/>
    <mergeCell ref="A10:K10"/>
    <mergeCell ref="B7:H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rightToLeft="1" view="pageBreakPreview" topLeftCell="A18" zoomScaleSheetLayoutView="100" workbookViewId="0">
      <selection activeCell="E25" sqref="E25"/>
    </sheetView>
  </sheetViews>
  <sheetFormatPr defaultColWidth="9.125" defaultRowHeight="15"/>
  <cols>
    <col min="1" max="1" width="9.125" style="330"/>
    <col min="2" max="2" width="36.75" style="330" customWidth="1"/>
    <col min="3" max="3" width="11.875" style="331" customWidth="1"/>
    <col min="4" max="5" width="11.875" style="330" customWidth="1"/>
    <col min="6" max="6" width="13.125" style="330" customWidth="1"/>
    <col min="7" max="7" width="11.875" style="330" customWidth="1"/>
    <col min="8" max="8" width="14.75" style="330" customWidth="1"/>
    <col min="9" max="9" width="12.75" style="330" customWidth="1"/>
    <col min="10" max="10" width="11.875" style="330" customWidth="1"/>
    <col min="11" max="11" width="12" style="330" customWidth="1"/>
    <col min="12" max="12" width="16" style="330" customWidth="1"/>
    <col min="13" max="16384" width="9.125" style="330"/>
  </cols>
  <sheetData>
    <row r="1" spans="1:12" s="332" customFormat="1" ht="22.5" customHeight="1">
      <c r="A1" s="731" t="s">
        <v>294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</row>
    <row r="2" spans="1:12" s="332" customFormat="1" ht="22.5" customHeight="1">
      <c r="A2" s="731" t="s">
        <v>284</v>
      </c>
      <c r="B2" s="731"/>
      <c r="C2" s="731"/>
      <c r="D2" s="731"/>
      <c r="E2" s="731"/>
      <c r="F2" s="731"/>
      <c r="G2" s="731"/>
      <c r="H2" s="731"/>
      <c r="I2" s="731"/>
      <c r="J2" s="731"/>
      <c r="K2" s="731"/>
      <c r="L2" s="731"/>
    </row>
    <row r="3" spans="1:12" s="332" customFormat="1" ht="22.5" customHeight="1" thickBot="1">
      <c r="A3" s="732" t="s">
        <v>295</v>
      </c>
      <c r="B3" s="732"/>
      <c r="C3" s="732"/>
      <c r="D3" s="732"/>
      <c r="E3" s="732"/>
      <c r="F3" s="732"/>
      <c r="G3" s="732"/>
      <c r="H3" s="732"/>
      <c r="I3" s="732"/>
      <c r="J3" s="732"/>
      <c r="K3" s="732"/>
      <c r="L3" s="732"/>
    </row>
    <row r="4" spans="1:12" ht="28.5" customHeight="1">
      <c r="A4" s="733" t="s">
        <v>312</v>
      </c>
      <c r="B4" s="734"/>
      <c r="C4" s="734"/>
      <c r="D4" s="734"/>
      <c r="E4" s="734"/>
      <c r="F4" s="734"/>
      <c r="G4" s="734"/>
      <c r="H4" s="734"/>
      <c r="I4" s="734"/>
      <c r="J4" s="734"/>
      <c r="K4" s="734"/>
      <c r="L4" s="735"/>
    </row>
    <row r="5" spans="1:12" s="334" customFormat="1" ht="40.5" customHeight="1">
      <c r="A5" s="736" t="s">
        <v>2</v>
      </c>
      <c r="B5" s="737"/>
      <c r="C5" s="356" t="s">
        <v>3</v>
      </c>
      <c r="D5" s="356" t="s">
        <v>4</v>
      </c>
      <c r="E5" s="356" t="s">
        <v>5</v>
      </c>
      <c r="F5" s="356" t="s">
        <v>6</v>
      </c>
      <c r="G5" s="356" t="s">
        <v>59</v>
      </c>
      <c r="H5" s="356" t="s">
        <v>8</v>
      </c>
      <c r="I5" s="357" t="s">
        <v>9</v>
      </c>
      <c r="J5" s="356" t="s">
        <v>79</v>
      </c>
      <c r="K5" s="356" t="s">
        <v>247</v>
      </c>
      <c r="L5" s="361" t="s">
        <v>12</v>
      </c>
    </row>
    <row r="6" spans="1:12" s="334" customFormat="1" ht="24.95" customHeight="1">
      <c r="A6" s="728" t="s">
        <v>311</v>
      </c>
      <c r="B6" s="729"/>
      <c r="C6" s="729"/>
      <c r="D6" s="729"/>
      <c r="E6" s="729"/>
      <c r="F6" s="729"/>
      <c r="G6" s="729"/>
      <c r="H6" s="729"/>
      <c r="I6" s="729"/>
      <c r="J6" s="729"/>
      <c r="K6" s="729"/>
      <c r="L6" s="730"/>
    </row>
    <row r="7" spans="1:12" s="333" customFormat="1" ht="20.100000000000001" customHeight="1">
      <c r="A7" s="337">
        <v>1</v>
      </c>
      <c r="B7" s="353" t="s">
        <v>289</v>
      </c>
      <c r="C7" s="344" t="s">
        <v>37</v>
      </c>
      <c r="D7" s="336">
        <v>10000</v>
      </c>
      <c r="E7" s="336">
        <v>60</v>
      </c>
      <c r="F7" s="117">
        <f>400/E7</f>
        <v>6.666666666666667</v>
      </c>
      <c r="G7" s="117">
        <f t="shared" ref="G7" si="0">D7/E7</f>
        <v>166.66666666666666</v>
      </c>
      <c r="H7" s="117">
        <f>(G7*F7*E7)</f>
        <v>66666.666666666672</v>
      </c>
      <c r="I7" s="117">
        <v>10</v>
      </c>
      <c r="J7" s="117">
        <f>G7/I7</f>
        <v>16.666666666666664</v>
      </c>
      <c r="K7" s="117">
        <f t="shared" ref="K7" si="1">J7*E7</f>
        <v>999.99999999999989</v>
      </c>
      <c r="L7" s="338"/>
    </row>
    <row r="8" spans="1:12" s="333" customFormat="1" ht="21.95" customHeight="1">
      <c r="A8" s="738" t="s">
        <v>291</v>
      </c>
      <c r="B8" s="739"/>
      <c r="C8" s="340"/>
      <c r="D8" s="339"/>
      <c r="E8" s="339"/>
      <c r="F8" s="339"/>
      <c r="G8" s="339"/>
      <c r="H8" s="339">
        <f>SUM(H7)</f>
        <v>66666.666666666672</v>
      </c>
      <c r="I8" s="339">
        <f>SUM(I7)</f>
        <v>10</v>
      </c>
      <c r="J8" s="340">
        <f>SUM(J7)</f>
        <v>16.666666666666664</v>
      </c>
      <c r="K8" s="339"/>
      <c r="L8" s="341"/>
    </row>
    <row r="9" spans="1:12" s="334" customFormat="1" ht="24.95" customHeight="1">
      <c r="A9" s="742" t="s">
        <v>298</v>
      </c>
      <c r="B9" s="743"/>
      <c r="C9" s="743"/>
      <c r="D9" s="743"/>
      <c r="E9" s="743"/>
      <c r="F9" s="743"/>
      <c r="G9" s="743"/>
      <c r="H9" s="743"/>
      <c r="I9" s="743"/>
      <c r="J9" s="743"/>
      <c r="K9" s="743"/>
      <c r="L9" s="744"/>
    </row>
    <row r="10" spans="1:12" s="333" customFormat="1" ht="20.100000000000001" customHeight="1">
      <c r="A10" s="337">
        <v>1</v>
      </c>
      <c r="B10" s="353" t="s">
        <v>301</v>
      </c>
      <c r="C10" s="358" t="s">
        <v>288</v>
      </c>
      <c r="D10" s="336">
        <v>8000</v>
      </c>
      <c r="E10" s="336">
        <v>80</v>
      </c>
      <c r="F10" s="117">
        <f t="shared" ref="F10:F12" si="2">400/E10</f>
        <v>5</v>
      </c>
      <c r="G10" s="117">
        <f t="shared" ref="G10:G12" si="3">D10/E10</f>
        <v>100</v>
      </c>
      <c r="H10" s="117">
        <f t="shared" ref="H10:H12" si="4">(G10*F10*E10)</f>
        <v>40000</v>
      </c>
      <c r="I10" s="117">
        <v>66</v>
      </c>
      <c r="J10" s="117">
        <f t="shared" ref="J10:J12" si="5">G10/I10</f>
        <v>1.5151515151515151</v>
      </c>
      <c r="K10" s="117">
        <f t="shared" ref="K10:K12" si="6">J10*E10</f>
        <v>121.21212121212122</v>
      </c>
      <c r="L10" s="342"/>
    </row>
    <row r="11" spans="1:12" s="333" customFormat="1" ht="20.100000000000001" customHeight="1">
      <c r="A11" s="337">
        <v>2</v>
      </c>
      <c r="B11" s="354" t="s">
        <v>304</v>
      </c>
      <c r="C11" s="359" t="s">
        <v>288</v>
      </c>
      <c r="D11" s="336">
        <v>28000</v>
      </c>
      <c r="E11" s="336">
        <v>80</v>
      </c>
      <c r="F11" s="117">
        <f t="shared" si="2"/>
        <v>5</v>
      </c>
      <c r="G11" s="117">
        <f t="shared" si="3"/>
        <v>350</v>
      </c>
      <c r="H11" s="117">
        <f t="shared" si="4"/>
        <v>140000</v>
      </c>
      <c r="I11" s="117">
        <v>66</v>
      </c>
      <c r="J11" s="117">
        <f t="shared" si="5"/>
        <v>5.3030303030303028</v>
      </c>
      <c r="K11" s="117">
        <f t="shared" si="6"/>
        <v>424.24242424242425</v>
      </c>
      <c r="L11" s="342"/>
    </row>
    <row r="12" spans="1:12" s="333" customFormat="1" ht="20.100000000000001" customHeight="1">
      <c r="A12" s="337">
        <v>3</v>
      </c>
      <c r="B12" s="354" t="s">
        <v>302</v>
      </c>
      <c r="C12" s="359" t="s">
        <v>37</v>
      </c>
      <c r="D12" s="336">
        <v>20000</v>
      </c>
      <c r="E12" s="336">
        <v>250</v>
      </c>
      <c r="F12" s="117">
        <f t="shared" si="2"/>
        <v>1.6</v>
      </c>
      <c r="G12" s="117">
        <f t="shared" si="3"/>
        <v>80</v>
      </c>
      <c r="H12" s="117">
        <f t="shared" si="4"/>
        <v>32000</v>
      </c>
      <c r="I12" s="117">
        <v>66</v>
      </c>
      <c r="J12" s="117">
        <f t="shared" si="5"/>
        <v>1.2121212121212122</v>
      </c>
      <c r="K12" s="117">
        <f t="shared" si="6"/>
        <v>303.03030303030306</v>
      </c>
      <c r="L12" s="342"/>
    </row>
    <row r="13" spans="1:12" s="333" customFormat="1" ht="21.95" customHeight="1">
      <c r="A13" s="738" t="s">
        <v>291</v>
      </c>
      <c r="B13" s="739"/>
      <c r="C13" s="340"/>
      <c r="D13" s="339"/>
      <c r="E13" s="339"/>
      <c r="F13" s="339"/>
      <c r="G13" s="339"/>
      <c r="H13" s="339">
        <f t="shared" ref="H13:I13" si="7">SUM(H10:H12)</f>
        <v>212000</v>
      </c>
      <c r="I13" s="339">
        <f t="shared" si="7"/>
        <v>198</v>
      </c>
      <c r="J13" s="340">
        <f>SUM(J10:J12)</f>
        <v>8.0303030303030312</v>
      </c>
      <c r="K13" s="339"/>
      <c r="L13" s="341"/>
    </row>
    <row r="14" spans="1:12" s="334" customFormat="1" ht="24.95" customHeight="1">
      <c r="A14" s="742" t="s">
        <v>299</v>
      </c>
      <c r="B14" s="743"/>
      <c r="C14" s="743"/>
      <c r="D14" s="743"/>
      <c r="E14" s="743"/>
      <c r="F14" s="743"/>
      <c r="G14" s="743"/>
      <c r="H14" s="743"/>
      <c r="I14" s="743"/>
      <c r="J14" s="743"/>
      <c r="K14" s="743"/>
      <c r="L14" s="744"/>
    </row>
    <row r="15" spans="1:12" s="333" customFormat="1" ht="20.100000000000001" customHeight="1">
      <c r="A15" s="337">
        <v>1</v>
      </c>
      <c r="B15" s="354" t="s">
        <v>304</v>
      </c>
      <c r="C15" s="359" t="s">
        <v>288</v>
      </c>
      <c r="D15" s="336">
        <v>28000</v>
      </c>
      <c r="E15" s="336">
        <v>80</v>
      </c>
      <c r="F15" s="117">
        <f t="shared" ref="F15:F16" si="8">400/E15</f>
        <v>5</v>
      </c>
      <c r="G15" s="117">
        <f t="shared" ref="G15:G16" si="9">D15/E15</f>
        <v>350</v>
      </c>
      <c r="H15" s="117">
        <f t="shared" ref="H15:H16" si="10">(G15*F15*E15)</f>
        <v>140000</v>
      </c>
      <c r="I15" s="117">
        <v>66</v>
      </c>
      <c r="J15" s="117">
        <f t="shared" ref="J15:J16" si="11">G15/I15</f>
        <v>5.3030303030303028</v>
      </c>
      <c r="K15" s="117">
        <f t="shared" ref="K15:K16" si="12">J15*E15</f>
        <v>424.24242424242425</v>
      </c>
      <c r="L15" s="343"/>
    </row>
    <row r="16" spans="1:12" s="333" customFormat="1" ht="20.100000000000001" customHeight="1">
      <c r="A16" s="337">
        <v>2</v>
      </c>
      <c r="B16" s="336" t="s">
        <v>303</v>
      </c>
      <c r="C16" s="344" t="s">
        <v>227</v>
      </c>
      <c r="D16" s="336">
        <v>10</v>
      </c>
      <c r="E16" s="336">
        <v>1</v>
      </c>
      <c r="F16" s="117">
        <f t="shared" si="8"/>
        <v>400</v>
      </c>
      <c r="G16" s="117">
        <f t="shared" si="9"/>
        <v>10</v>
      </c>
      <c r="H16" s="117">
        <f t="shared" si="10"/>
        <v>4000</v>
      </c>
      <c r="I16" s="117">
        <v>66</v>
      </c>
      <c r="J16" s="117">
        <f t="shared" si="11"/>
        <v>0.15151515151515152</v>
      </c>
      <c r="K16" s="117">
        <f t="shared" si="12"/>
        <v>0.15151515151515152</v>
      </c>
      <c r="L16" s="345"/>
    </row>
    <row r="17" spans="1:12" s="333" customFormat="1" ht="21.95" customHeight="1">
      <c r="A17" s="738" t="s">
        <v>291</v>
      </c>
      <c r="B17" s="739"/>
      <c r="C17" s="340"/>
      <c r="D17" s="339"/>
      <c r="E17" s="339"/>
      <c r="F17" s="339"/>
      <c r="G17" s="339"/>
      <c r="H17" s="339">
        <f t="shared" ref="H17:I17" si="13">SUM(H15:H16)</f>
        <v>144000</v>
      </c>
      <c r="I17" s="339">
        <f t="shared" si="13"/>
        <v>132</v>
      </c>
      <c r="J17" s="340">
        <f>SUM(J15:J16)</f>
        <v>5.4545454545454541</v>
      </c>
      <c r="K17" s="339"/>
      <c r="L17" s="341"/>
    </row>
    <row r="18" spans="1:12" s="334" customFormat="1" ht="24.95" customHeight="1">
      <c r="A18" s="742" t="s">
        <v>300</v>
      </c>
      <c r="B18" s="743"/>
      <c r="C18" s="743"/>
      <c r="D18" s="743"/>
      <c r="E18" s="743"/>
      <c r="F18" s="743"/>
      <c r="G18" s="743"/>
      <c r="H18" s="743"/>
      <c r="I18" s="743"/>
      <c r="J18" s="743"/>
      <c r="K18" s="743"/>
      <c r="L18" s="744"/>
    </row>
    <row r="19" spans="1:12" s="333" customFormat="1" ht="20.100000000000001" customHeight="1">
      <c r="A19" s="337">
        <v>1</v>
      </c>
      <c r="B19" s="353" t="s">
        <v>301</v>
      </c>
      <c r="C19" s="358" t="s">
        <v>288</v>
      </c>
      <c r="D19" s="346">
        <v>11000</v>
      </c>
      <c r="E19" s="344">
        <v>80</v>
      </c>
      <c r="F19" s="117">
        <f t="shared" ref="F19:F25" si="14">400/E19</f>
        <v>5</v>
      </c>
      <c r="G19" s="117">
        <f t="shared" ref="G19:G25" si="15">D19/E19</f>
        <v>137.5</v>
      </c>
      <c r="H19" s="117">
        <f t="shared" ref="H19:H25" si="16">(G19*F19*E19)</f>
        <v>55000</v>
      </c>
      <c r="I19" s="117">
        <v>66</v>
      </c>
      <c r="J19" s="117">
        <f t="shared" ref="J19:J25" si="17">G19/I19</f>
        <v>2.0833333333333335</v>
      </c>
      <c r="K19" s="117">
        <f t="shared" ref="K19:K25" si="18">J19*E19</f>
        <v>166.66666666666669</v>
      </c>
      <c r="L19" s="342"/>
    </row>
    <row r="20" spans="1:12" s="333" customFormat="1" ht="20.100000000000001" customHeight="1">
      <c r="A20" s="337">
        <v>2</v>
      </c>
      <c r="B20" s="354" t="s">
        <v>304</v>
      </c>
      <c r="C20" s="359" t="s">
        <v>288</v>
      </c>
      <c r="D20" s="336">
        <v>28000</v>
      </c>
      <c r="E20" s="344">
        <v>80</v>
      </c>
      <c r="F20" s="117">
        <f t="shared" si="14"/>
        <v>5</v>
      </c>
      <c r="G20" s="117">
        <f t="shared" si="15"/>
        <v>350</v>
      </c>
      <c r="H20" s="117">
        <f t="shared" si="16"/>
        <v>140000</v>
      </c>
      <c r="I20" s="117">
        <v>66</v>
      </c>
      <c r="J20" s="117">
        <f t="shared" si="17"/>
        <v>5.3030303030303028</v>
      </c>
      <c r="K20" s="117">
        <f t="shared" si="18"/>
        <v>424.24242424242425</v>
      </c>
      <c r="L20" s="345"/>
    </row>
    <row r="21" spans="1:12" s="333" customFormat="1" ht="20.100000000000001" customHeight="1">
      <c r="A21" s="337">
        <v>3</v>
      </c>
      <c r="B21" s="354" t="s">
        <v>302</v>
      </c>
      <c r="C21" s="359" t="s">
        <v>37</v>
      </c>
      <c r="D21" s="336">
        <v>35000</v>
      </c>
      <c r="E21" s="344">
        <v>250</v>
      </c>
      <c r="F21" s="117">
        <f t="shared" si="14"/>
        <v>1.6</v>
      </c>
      <c r="G21" s="117">
        <f t="shared" si="15"/>
        <v>140</v>
      </c>
      <c r="H21" s="117">
        <f t="shared" si="16"/>
        <v>56000</v>
      </c>
      <c r="I21" s="117">
        <v>66</v>
      </c>
      <c r="J21" s="117">
        <f t="shared" si="17"/>
        <v>2.1212121212121211</v>
      </c>
      <c r="K21" s="117">
        <f t="shared" si="18"/>
        <v>530.30303030303025</v>
      </c>
      <c r="L21" s="345"/>
    </row>
    <row r="22" spans="1:12" s="333" customFormat="1" ht="20.100000000000001" customHeight="1">
      <c r="A22" s="337">
        <v>4</v>
      </c>
      <c r="B22" s="354" t="s">
        <v>303</v>
      </c>
      <c r="C22" s="359" t="s">
        <v>227</v>
      </c>
      <c r="D22" s="336">
        <v>14</v>
      </c>
      <c r="E22" s="344">
        <v>1</v>
      </c>
      <c r="F22" s="117">
        <f t="shared" si="14"/>
        <v>400</v>
      </c>
      <c r="G22" s="117">
        <f t="shared" si="15"/>
        <v>14</v>
      </c>
      <c r="H22" s="117">
        <f t="shared" si="16"/>
        <v>5600</v>
      </c>
      <c r="I22" s="117">
        <v>66</v>
      </c>
      <c r="J22" s="117">
        <f t="shared" si="17"/>
        <v>0.21212121212121213</v>
      </c>
      <c r="K22" s="117">
        <f t="shared" si="18"/>
        <v>0.21212121212121213</v>
      </c>
      <c r="L22" s="345"/>
    </row>
    <row r="23" spans="1:12" s="333" customFormat="1" ht="20.100000000000001" customHeight="1">
      <c r="A23" s="337">
        <v>5</v>
      </c>
      <c r="B23" s="354" t="s">
        <v>289</v>
      </c>
      <c r="C23" s="359" t="s">
        <v>37</v>
      </c>
      <c r="D23" s="336">
        <v>47000</v>
      </c>
      <c r="E23" s="344">
        <v>60</v>
      </c>
      <c r="F23" s="117">
        <f t="shared" si="14"/>
        <v>6.666666666666667</v>
      </c>
      <c r="G23" s="117">
        <f t="shared" si="15"/>
        <v>783.33333333333337</v>
      </c>
      <c r="H23" s="117">
        <f t="shared" si="16"/>
        <v>313333.33333333337</v>
      </c>
      <c r="I23" s="117">
        <v>66</v>
      </c>
      <c r="J23" s="117">
        <f t="shared" si="17"/>
        <v>11.868686868686869</v>
      </c>
      <c r="K23" s="117">
        <f t="shared" si="18"/>
        <v>712.12121212121212</v>
      </c>
      <c r="L23" s="345"/>
    </row>
    <row r="24" spans="1:12" s="333" customFormat="1" ht="20.100000000000001" customHeight="1">
      <c r="A24" s="337">
        <v>6</v>
      </c>
      <c r="B24" s="355" t="s">
        <v>305</v>
      </c>
      <c r="C24" s="360" t="s">
        <v>24</v>
      </c>
      <c r="D24" s="346">
        <v>4000</v>
      </c>
      <c r="E24" s="344">
        <v>300</v>
      </c>
      <c r="F24" s="117">
        <f t="shared" si="14"/>
        <v>1.3333333333333333</v>
      </c>
      <c r="G24" s="117">
        <f t="shared" si="15"/>
        <v>13.333333333333334</v>
      </c>
      <c r="H24" s="117">
        <f t="shared" si="16"/>
        <v>5333.3333333333339</v>
      </c>
      <c r="I24" s="117">
        <v>66</v>
      </c>
      <c r="J24" s="117">
        <f t="shared" si="17"/>
        <v>0.20202020202020202</v>
      </c>
      <c r="K24" s="117">
        <f t="shared" si="18"/>
        <v>60.606060606060602</v>
      </c>
      <c r="L24" s="345"/>
    </row>
    <row r="25" spans="1:12" s="333" customFormat="1" ht="20.100000000000001" customHeight="1">
      <c r="A25" s="337">
        <v>7</v>
      </c>
      <c r="B25" s="354" t="s">
        <v>292</v>
      </c>
      <c r="C25" s="359" t="s">
        <v>293</v>
      </c>
      <c r="D25" s="346">
        <v>55000</v>
      </c>
      <c r="E25" s="344">
        <v>250</v>
      </c>
      <c r="F25" s="117">
        <f t="shared" si="14"/>
        <v>1.6</v>
      </c>
      <c r="G25" s="117">
        <f t="shared" si="15"/>
        <v>220</v>
      </c>
      <c r="H25" s="117">
        <f t="shared" si="16"/>
        <v>88000</v>
      </c>
      <c r="I25" s="117">
        <v>66</v>
      </c>
      <c r="J25" s="117">
        <f t="shared" si="17"/>
        <v>3.3333333333333335</v>
      </c>
      <c r="K25" s="117">
        <f t="shared" si="18"/>
        <v>833.33333333333337</v>
      </c>
      <c r="L25" s="345"/>
    </row>
    <row r="26" spans="1:12" s="334" customFormat="1" ht="21.95" customHeight="1">
      <c r="A26" s="738" t="s">
        <v>291</v>
      </c>
      <c r="B26" s="739"/>
      <c r="C26" s="348"/>
      <c r="D26" s="347"/>
      <c r="E26" s="347"/>
      <c r="F26" s="347"/>
      <c r="G26" s="347"/>
      <c r="H26" s="348">
        <f t="shared" ref="H26:I26" si="19">SUM(H19:H25)</f>
        <v>663266.66666666674</v>
      </c>
      <c r="I26" s="348">
        <f t="shared" si="19"/>
        <v>462</v>
      </c>
      <c r="J26" s="348">
        <f>SUM(J19:J25)</f>
        <v>25.123737373737374</v>
      </c>
      <c r="K26" s="347"/>
      <c r="L26" s="349"/>
    </row>
    <row r="27" spans="1:12" s="334" customFormat="1" ht="21.95" customHeight="1" thickBot="1">
      <c r="A27" s="740" t="s">
        <v>290</v>
      </c>
      <c r="B27" s="741"/>
      <c r="C27" s="351"/>
      <c r="D27" s="350"/>
      <c r="E27" s="350"/>
      <c r="F27" s="350"/>
      <c r="G27" s="350"/>
      <c r="H27" s="351">
        <f>SUM(H26,H17,H13,H8)</f>
        <v>1085933.3333333335</v>
      </c>
      <c r="I27" s="351">
        <f t="shared" ref="I27" si="20">SUM(I26,I17,I13,I8)</f>
        <v>802</v>
      </c>
      <c r="J27" s="351">
        <f>SUM(J26,J17,J13,J8)</f>
        <v>55.275252525252519</v>
      </c>
      <c r="K27" s="350"/>
      <c r="L27" s="352"/>
    </row>
    <row r="28" spans="1:12" s="335" customFormat="1" ht="32.25" customHeight="1">
      <c r="A28" s="721" t="s">
        <v>321</v>
      </c>
      <c r="B28" s="721"/>
      <c r="C28" s="721"/>
      <c r="D28" s="68"/>
      <c r="E28" s="68"/>
      <c r="F28" s="176"/>
      <c r="G28" s="68" t="s">
        <v>44</v>
      </c>
      <c r="H28" s="68" t="s">
        <v>217</v>
      </c>
      <c r="I28" s="244"/>
      <c r="J28" s="248"/>
      <c r="K28" s="244"/>
      <c r="L28" s="68"/>
    </row>
    <row r="29" spans="1:12" s="334" customFormat="1" ht="43.5" customHeight="1">
      <c r="A29" s="267" t="s">
        <v>318</v>
      </c>
      <c r="B29" s="268"/>
      <c r="C29" s="269" t="s">
        <v>48</v>
      </c>
      <c r="D29" s="270"/>
      <c r="E29" s="269" t="s">
        <v>200</v>
      </c>
      <c r="F29" s="269"/>
      <c r="G29" s="384" t="s">
        <v>319</v>
      </c>
      <c r="H29" s="324" t="s">
        <v>49</v>
      </c>
      <c r="I29" s="270"/>
      <c r="J29" s="324"/>
      <c r="K29" s="324"/>
      <c r="L29" s="39"/>
    </row>
    <row r="30" spans="1:12" ht="18.75">
      <c r="A30" s="271"/>
      <c r="B30" s="272"/>
      <c r="C30" s="271" t="s">
        <v>286</v>
      </c>
      <c r="D30" s="271"/>
      <c r="E30" s="244" t="s">
        <v>52</v>
      </c>
      <c r="F30" s="244"/>
      <c r="G30" s="271"/>
      <c r="H30" s="325" t="s">
        <v>54</v>
      </c>
      <c r="I30" s="271"/>
      <c r="J30" s="325"/>
      <c r="K30" s="323" t="s">
        <v>81</v>
      </c>
      <c r="L30" s="323"/>
    </row>
  </sheetData>
  <mergeCells count="15">
    <mergeCell ref="A26:B26"/>
    <mergeCell ref="A27:B27"/>
    <mergeCell ref="A28:C28"/>
    <mergeCell ref="A8:B8"/>
    <mergeCell ref="A9:L9"/>
    <mergeCell ref="A13:B13"/>
    <mergeCell ref="A14:L14"/>
    <mergeCell ref="A17:B17"/>
    <mergeCell ref="A18:L18"/>
    <mergeCell ref="A6:L6"/>
    <mergeCell ref="A1:L1"/>
    <mergeCell ref="A2:L2"/>
    <mergeCell ref="A3:L3"/>
    <mergeCell ref="A4:L4"/>
    <mergeCell ref="A5:B5"/>
  </mergeCells>
  <printOptions horizontalCentered="1"/>
  <pageMargins left="0.25" right="0.25" top="0.75" bottom="0.75" header="0.3" footer="0.3"/>
  <pageSetup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rightToLeft="1" view="pageBreakPreview" topLeftCell="A21" zoomScaleSheetLayoutView="100" workbookViewId="0">
      <selection activeCell="D28" sqref="D28"/>
    </sheetView>
  </sheetViews>
  <sheetFormatPr defaultColWidth="9.125" defaultRowHeight="15"/>
  <cols>
    <col min="1" max="1" width="9.125" style="330"/>
    <col min="2" max="2" width="36.75" style="330" customWidth="1"/>
    <col min="3" max="3" width="11.875" style="331" customWidth="1"/>
    <col min="4" max="5" width="11.875" style="330" customWidth="1"/>
    <col min="6" max="6" width="13.125" style="330" customWidth="1"/>
    <col min="7" max="7" width="11.875" style="330" customWidth="1"/>
    <col min="8" max="8" width="14.75" style="330" customWidth="1"/>
    <col min="9" max="9" width="12.75" style="330" customWidth="1"/>
    <col min="10" max="10" width="11.875" style="330" customWidth="1"/>
    <col min="11" max="11" width="12" style="330" customWidth="1"/>
    <col min="12" max="12" width="16" style="330" customWidth="1"/>
    <col min="13" max="16384" width="9.125" style="330"/>
  </cols>
  <sheetData>
    <row r="1" spans="1:12" s="332" customFormat="1" ht="22.5" customHeight="1">
      <c r="A1" s="731" t="s">
        <v>294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</row>
    <row r="2" spans="1:12" s="332" customFormat="1" ht="22.5" customHeight="1">
      <c r="A2" s="731" t="s">
        <v>284</v>
      </c>
      <c r="B2" s="731"/>
      <c r="C2" s="731"/>
      <c r="D2" s="731"/>
      <c r="E2" s="731"/>
      <c r="F2" s="731"/>
      <c r="G2" s="731"/>
      <c r="H2" s="731"/>
      <c r="I2" s="731"/>
      <c r="J2" s="731"/>
      <c r="K2" s="731"/>
      <c r="L2" s="731"/>
    </row>
    <row r="3" spans="1:12" s="332" customFormat="1" ht="22.5" customHeight="1" thickBot="1">
      <c r="A3" s="732" t="s">
        <v>295</v>
      </c>
      <c r="B3" s="732"/>
      <c r="C3" s="732"/>
      <c r="D3" s="732"/>
      <c r="E3" s="732"/>
      <c r="F3" s="732"/>
      <c r="G3" s="732"/>
      <c r="H3" s="732"/>
      <c r="I3" s="732"/>
      <c r="J3" s="732"/>
      <c r="K3" s="732"/>
      <c r="L3" s="732"/>
    </row>
    <row r="4" spans="1:12" ht="28.5" customHeight="1">
      <c r="A4" s="733" t="s">
        <v>310</v>
      </c>
      <c r="B4" s="734"/>
      <c r="C4" s="734"/>
      <c r="D4" s="734"/>
      <c r="E4" s="734"/>
      <c r="F4" s="734"/>
      <c r="G4" s="734"/>
      <c r="H4" s="734"/>
      <c r="I4" s="734"/>
      <c r="J4" s="734"/>
      <c r="K4" s="734"/>
      <c r="L4" s="735"/>
    </row>
    <row r="5" spans="1:12" s="334" customFormat="1" ht="40.5" customHeight="1">
      <c r="A5" s="736" t="s">
        <v>2</v>
      </c>
      <c r="B5" s="737"/>
      <c r="C5" s="356" t="s">
        <v>3</v>
      </c>
      <c r="D5" s="356" t="s">
        <v>4</v>
      </c>
      <c r="E5" s="356" t="s">
        <v>5</v>
      </c>
      <c r="F5" s="356" t="s">
        <v>6</v>
      </c>
      <c r="G5" s="356" t="s">
        <v>59</v>
      </c>
      <c r="H5" s="356" t="s">
        <v>8</v>
      </c>
      <c r="I5" s="357" t="s">
        <v>9</v>
      </c>
      <c r="J5" s="356" t="s">
        <v>79</v>
      </c>
      <c r="K5" s="356" t="s">
        <v>247</v>
      </c>
      <c r="L5" s="361" t="s">
        <v>12</v>
      </c>
    </row>
    <row r="6" spans="1:12" s="334" customFormat="1" ht="24.95" customHeight="1">
      <c r="A6" s="728" t="s">
        <v>209</v>
      </c>
      <c r="B6" s="729"/>
      <c r="C6" s="729"/>
      <c r="D6" s="729"/>
      <c r="E6" s="729"/>
      <c r="F6" s="729"/>
      <c r="G6" s="729"/>
      <c r="H6" s="729"/>
      <c r="I6" s="729"/>
      <c r="J6" s="729"/>
      <c r="K6" s="729"/>
      <c r="L6" s="730"/>
    </row>
    <row r="7" spans="1:12" s="333" customFormat="1" ht="20.100000000000001" customHeight="1">
      <c r="A7" s="337">
        <v>1</v>
      </c>
      <c r="B7" s="353" t="s">
        <v>289</v>
      </c>
      <c r="C7" s="344" t="s">
        <v>37</v>
      </c>
      <c r="D7" s="336">
        <v>0</v>
      </c>
      <c r="E7" s="336">
        <v>60</v>
      </c>
      <c r="F7" s="117">
        <f>400/E7</f>
        <v>6.666666666666667</v>
      </c>
      <c r="G7" s="117">
        <f t="shared" ref="G7" si="0">D7/E7</f>
        <v>0</v>
      </c>
      <c r="H7" s="117">
        <f>(G7*F7*E7)</f>
        <v>0</v>
      </c>
      <c r="I7" s="117">
        <v>66</v>
      </c>
      <c r="J7" s="117">
        <f>G7/I7</f>
        <v>0</v>
      </c>
      <c r="K7" s="117">
        <f t="shared" ref="K7" si="1">J7*E7</f>
        <v>0</v>
      </c>
      <c r="L7" s="338"/>
    </row>
    <row r="8" spans="1:12" s="333" customFormat="1" ht="21.95" customHeight="1">
      <c r="A8" s="738" t="s">
        <v>291</v>
      </c>
      <c r="B8" s="739"/>
      <c r="C8" s="340"/>
      <c r="D8" s="339"/>
      <c r="E8" s="339"/>
      <c r="F8" s="339"/>
      <c r="G8" s="339"/>
      <c r="H8" s="339">
        <f>SUM(H7)</f>
        <v>0</v>
      </c>
      <c r="I8" s="339">
        <f>SUM(I7)</f>
        <v>66</v>
      </c>
      <c r="J8" s="340">
        <f>SUM(J7)</f>
        <v>0</v>
      </c>
      <c r="K8" s="339"/>
      <c r="L8" s="341"/>
    </row>
    <row r="9" spans="1:12" s="334" customFormat="1" ht="24.95" customHeight="1">
      <c r="A9" s="742" t="s">
        <v>298</v>
      </c>
      <c r="B9" s="743"/>
      <c r="C9" s="743"/>
      <c r="D9" s="743"/>
      <c r="E9" s="743"/>
      <c r="F9" s="743"/>
      <c r="G9" s="743"/>
      <c r="H9" s="743"/>
      <c r="I9" s="743"/>
      <c r="J9" s="743"/>
      <c r="K9" s="743"/>
      <c r="L9" s="744"/>
    </row>
    <row r="10" spans="1:12" s="333" customFormat="1" ht="20.100000000000001" customHeight="1">
      <c r="A10" s="337">
        <v>1</v>
      </c>
      <c r="B10" s="353" t="s">
        <v>301</v>
      </c>
      <c r="C10" s="358" t="s">
        <v>288</v>
      </c>
      <c r="D10" s="336">
        <v>4000</v>
      </c>
      <c r="E10" s="336">
        <v>80</v>
      </c>
      <c r="F10" s="117">
        <f t="shared" ref="F10:F12" si="2">400/E10</f>
        <v>5</v>
      </c>
      <c r="G10" s="117">
        <f t="shared" ref="G10:G12" si="3">D10/E10</f>
        <v>50</v>
      </c>
      <c r="H10" s="117">
        <f t="shared" ref="H10:H12" si="4">(G10*F10*E10)</f>
        <v>20000</v>
      </c>
      <c r="I10" s="117">
        <v>66</v>
      </c>
      <c r="J10" s="117">
        <f t="shared" ref="J10:J12" si="5">G10/I10</f>
        <v>0.75757575757575757</v>
      </c>
      <c r="K10" s="117">
        <f t="shared" ref="K10:K12" si="6">J10*E10</f>
        <v>60.606060606060609</v>
      </c>
      <c r="L10" s="342"/>
    </row>
    <row r="11" spans="1:12" s="333" customFormat="1" ht="20.100000000000001" customHeight="1">
      <c r="A11" s="337">
        <v>2</v>
      </c>
      <c r="B11" s="354" t="s">
        <v>304</v>
      </c>
      <c r="C11" s="359" t="s">
        <v>288</v>
      </c>
      <c r="D11" s="336">
        <v>5000</v>
      </c>
      <c r="E11" s="336">
        <v>80</v>
      </c>
      <c r="F11" s="117">
        <f t="shared" si="2"/>
        <v>5</v>
      </c>
      <c r="G11" s="117">
        <f t="shared" si="3"/>
        <v>62.5</v>
      </c>
      <c r="H11" s="117">
        <f t="shared" si="4"/>
        <v>25000</v>
      </c>
      <c r="I11" s="117">
        <v>66</v>
      </c>
      <c r="J11" s="117">
        <f t="shared" si="5"/>
        <v>0.94696969696969702</v>
      </c>
      <c r="K11" s="117">
        <f t="shared" si="6"/>
        <v>75.757575757575765</v>
      </c>
      <c r="L11" s="342"/>
    </row>
    <row r="12" spans="1:12" s="333" customFormat="1" ht="20.100000000000001" customHeight="1">
      <c r="A12" s="337">
        <v>3</v>
      </c>
      <c r="B12" s="354" t="s">
        <v>302</v>
      </c>
      <c r="C12" s="359" t="s">
        <v>37</v>
      </c>
      <c r="D12" s="336">
        <v>5000</v>
      </c>
      <c r="E12" s="336">
        <v>250</v>
      </c>
      <c r="F12" s="117">
        <f t="shared" si="2"/>
        <v>1.6</v>
      </c>
      <c r="G12" s="117">
        <f t="shared" si="3"/>
        <v>20</v>
      </c>
      <c r="H12" s="117">
        <f t="shared" si="4"/>
        <v>8000</v>
      </c>
      <c r="I12" s="117">
        <v>66</v>
      </c>
      <c r="J12" s="117">
        <f t="shared" si="5"/>
        <v>0.30303030303030304</v>
      </c>
      <c r="K12" s="117">
        <f t="shared" si="6"/>
        <v>75.757575757575765</v>
      </c>
      <c r="L12" s="342"/>
    </row>
    <row r="13" spans="1:12" s="333" customFormat="1" ht="21.95" customHeight="1">
      <c r="A13" s="738" t="s">
        <v>291</v>
      </c>
      <c r="B13" s="739"/>
      <c r="C13" s="340"/>
      <c r="D13" s="339"/>
      <c r="E13" s="339"/>
      <c r="F13" s="339"/>
      <c r="G13" s="339"/>
      <c r="H13" s="339">
        <f t="shared" ref="H13:I13" si="7">SUM(H10:H12)</f>
        <v>53000</v>
      </c>
      <c r="I13" s="339">
        <f t="shared" si="7"/>
        <v>198</v>
      </c>
      <c r="J13" s="340">
        <f>SUM(J10:J12)</f>
        <v>2.0075757575757578</v>
      </c>
      <c r="K13" s="339"/>
      <c r="L13" s="341"/>
    </row>
    <row r="14" spans="1:12" s="334" customFormat="1" ht="24.95" customHeight="1">
      <c r="A14" s="742" t="s">
        <v>299</v>
      </c>
      <c r="B14" s="743"/>
      <c r="C14" s="743"/>
      <c r="D14" s="743"/>
      <c r="E14" s="743"/>
      <c r="F14" s="743"/>
      <c r="G14" s="743"/>
      <c r="H14" s="743"/>
      <c r="I14" s="743"/>
      <c r="J14" s="743"/>
      <c r="K14" s="743"/>
      <c r="L14" s="744"/>
    </row>
    <row r="15" spans="1:12" s="333" customFormat="1" ht="20.100000000000001" customHeight="1">
      <c r="A15" s="337">
        <v>1</v>
      </c>
      <c r="B15" s="354" t="s">
        <v>304</v>
      </c>
      <c r="C15" s="359" t="s">
        <v>288</v>
      </c>
      <c r="D15" s="336">
        <v>5000</v>
      </c>
      <c r="E15" s="336">
        <v>80</v>
      </c>
      <c r="F15" s="117">
        <f t="shared" ref="F15:F16" si="8">400/E15</f>
        <v>5</v>
      </c>
      <c r="G15" s="117">
        <f t="shared" ref="G15:G16" si="9">D15/E15</f>
        <v>62.5</v>
      </c>
      <c r="H15" s="117">
        <f t="shared" ref="H15:H16" si="10">(G15*F15*E15)</f>
        <v>25000</v>
      </c>
      <c r="I15" s="117">
        <v>66</v>
      </c>
      <c r="J15" s="117">
        <f t="shared" ref="J15:J16" si="11">G15/I15</f>
        <v>0.94696969696969702</v>
      </c>
      <c r="K15" s="117">
        <f t="shared" ref="K15:K16" si="12">J15*E15</f>
        <v>75.757575757575765</v>
      </c>
      <c r="L15" s="343"/>
    </row>
    <row r="16" spans="1:12" s="333" customFormat="1" ht="20.100000000000001" customHeight="1">
      <c r="A16" s="337">
        <v>2</v>
      </c>
      <c r="B16" s="336" t="s">
        <v>303</v>
      </c>
      <c r="C16" s="344" t="s">
        <v>227</v>
      </c>
      <c r="D16" s="336">
        <v>4</v>
      </c>
      <c r="E16" s="336">
        <v>1</v>
      </c>
      <c r="F16" s="117">
        <f t="shared" si="8"/>
        <v>400</v>
      </c>
      <c r="G16" s="117">
        <f t="shared" si="9"/>
        <v>4</v>
      </c>
      <c r="H16" s="117">
        <f t="shared" si="10"/>
        <v>1600</v>
      </c>
      <c r="I16" s="117">
        <v>66</v>
      </c>
      <c r="J16" s="117">
        <f t="shared" si="11"/>
        <v>6.0606060606060608E-2</v>
      </c>
      <c r="K16" s="117">
        <f t="shared" si="12"/>
        <v>6.0606060606060608E-2</v>
      </c>
      <c r="L16" s="345"/>
    </row>
    <row r="17" spans="1:12" s="333" customFormat="1" ht="21.95" customHeight="1">
      <c r="A17" s="738" t="s">
        <v>291</v>
      </c>
      <c r="B17" s="739"/>
      <c r="C17" s="340"/>
      <c r="D17" s="339"/>
      <c r="E17" s="339"/>
      <c r="F17" s="339"/>
      <c r="G17" s="339"/>
      <c r="H17" s="339">
        <f t="shared" ref="H17:I17" si="13">SUM(H15:H16)</f>
        <v>26600</v>
      </c>
      <c r="I17" s="339">
        <f t="shared" si="13"/>
        <v>132</v>
      </c>
      <c r="J17" s="340">
        <f>SUM(J15:J16)</f>
        <v>1.0075757575757576</v>
      </c>
      <c r="K17" s="339"/>
      <c r="L17" s="341"/>
    </row>
    <row r="18" spans="1:12" s="334" customFormat="1" ht="24.95" customHeight="1">
      <c r="A18" s="742" t="s">
        <v>300</v>
      </c>
      <c r="B18" s="743"/>
      <c r="C18" s="743"/>
      <c r="D18" s="743"/>
      <c r="E18" s="743"/>
      <c r="F18" s="743"/>
      <c r="G18" s="743"/>
      <c r="H18" s="743"/>
      <c r="I18" s="743"/>
      <c r="J18" s="743"/>
      <c r="K18" s="743"/>
      <c r="L18" s="744"/>
    </row>
    <row r="19" spans="1:12" s="333" customFormat="1" ht="20.100000000000001" customHeight="1">
      <c r="A19" s="337">
        <v>1</v>
      </c>
      <c r="B19" s="353" t="s">
        <v>301</v>
      </c>
      <c r="C19" s="358" t="s">
        <v>288</v>
      </c>
      <c r="D19" s="346">
        <v>3000</v>
      </c>
      <c r="E19" s="344">
        <v>80</v>
      </c>
      <c r="F19" s="117">
        <f t="shared" ref="F19:F25" si="14">400/E19</f>
        <v>5</v>
      </c>
      <c r="G19" s="117">
        <f t="shared" ref="G19:G25" si="15">D19/E19</f>
        <v>37.5</v>
      </c>
      <c r="H19" s="117">
        <f t="shared" ref="H19:H25" si="16">(G19*F19*E19)</f>
        <v>15000</v>
      </c>
      <c r="I19" s="117">
        <v>66</v>
      </c>
      <c r="J19" s="117">
        <f t="shared" ref="J19:J25" si="17">G19/I19</f>
        <v>0.56818181818181823</v>
      </c>
      <c r="K19" s="117">
        <f t="shared" ref="K19:K25" si="18">J19*E19</f>
        <v>45.45454545454546</v>
      </c>
      <c r="L19" s="342"/>
    </row>
    <row r="20" spans="1:12" s="333" customFormat="1" ht="20.100000000000001" customHeight="1">
      <c r="A20" s="337">
        <v>2</v>
      </c>
      <c r="B20" s="354" t="s">
        <v>304</v>
      </c>
      <c r="C20" s="359" t="s">
        <v>288</v>
      </c>
      <c r="D20" s="336">
        <v>5000</v>
      </c>
      <c r="E20" s="344">
        <v>80</v>
      </c>
      <c r="F20" s="117">
        <f t="shared" si="14"/>
        <v>5</v>
      </c>
      <c r="G20" s="117">
        <f t="shared" si="15"/>
        <v>62.5</v>
      </c>
      <c r="H20" s="117">
        <f t="shared" si="16"/>
        <v>25000</v>
      </c>
      <c r="I20" s="117">
        <v>66</v>
      </c>
      <c r="J20" s="117">
        <f t="shared" si="17"/>
        <v>0.94696969696969702</v>
      </c>
      <c r="K20" s="117">
        <f t="shared" si="18"/>
        <v>75.757575757575765</v>
      </c>
      <c r="L20" s="345"/>
    </row>
    <row r="21" spans="1:12" s="333" customFormat="1" ht="20.100000000000001" customHeight="1">
      <c r="A21" s="337">
        <v>3</v>
      </c>
      <c r="B21" s="354" t="s">
        <v>302</v>
      </c>
      <c r="C21" s="359" t="s">
        <v>37</v>
      </c>
      <c r="D21" s="336">
        <v>10000</v>
      </c>
      <c r="E21" s="344">
        <v>250</v>
      </c>
      <c r="F21" s="117">
        <f t="shared" si="14"/>
        <v>1.6</v>
      </c>
      <c r="G21" s="117">
        <f t="shared" si="15"/>
        <v>40</v>
      </c>
      <c r="H21" s="117">
        <f t="shared" si="16"/>
        <v>16000</v>
      </c>
      <c r="I21" s="117">
        <v>66</v>
      </c>
      <c r="J21" s="117">
        <f t="shared" si="17"/>
        <v>0.60606060606060608</v>
      </c>
      <c r="K21" s="117">
        <f t="shared" si="18"/>
        <v>151.51515151515153</v>
      </c>
      <c r="L21" s="345"/>
    </row>
    <row r="22" spans="1:12" s="333" customFormat="1" ht="20.100000000000001" customHeight="1">
      <c r="A22" s="337">
        <v>4</v>
      </c>
      <c r="B22" s="354" t="s">
        <v>303</v>
      </c>
      <c r="C22" s="359" t="s">
        <v>227</v>
      </c>
      <c r="D22" s="336">
        <v>4</v>
      </c>
      <c r="E22" s="344">
        <v>1</v>
      </c>
      <c r="F22" s="117">
        <f t="shared" si="14"/>
        <v>400</v>
      </c>
      <c r="G22" s="117">
        <f t="shared" si="15"/>
        <v>4</v>
      </c>
      <c r="H22" s="117">
        <f t="shared" si="16"/>
        <v>1600</v>
      </c>
      <c r="I22" s="117">
        <v>66</v>
      </c>
      <c r="J22" s="117">
        <f t="shared" si="17"/>
        <v>6.0606060606060608E-2</v>
      </c>
      <c r="K22" s="117">
        <f t="shared" si="18"/>
        <v>6.0606060606060608E-2</v>
      </c>
      <c r="L22" s="345"/>
    </row>
    <row r="23" spans="1:12" s="333" customFormat="1" ht="20.100000000000001" customHeight="1">
      <c r="A23" s="337">
        <v>5</v>
      </c>
      <c r="B23" s="354" t="s">
        <v>289</v>
      </c>
      <c r="C23" s="359" t="s">
        <v>37</v>
      </c>
      <c r="D23" s="336">
        <v>15000</v>
      </c>
      <c r="E23" s="344">
        <v>60</v>
      </c>
      <c r="F23" s="117">
        <f t="shared" si="14"/>
        <v>6.666666666666667</v>
      </c>
      <c r="G23" s="117">
        <f t="shared" si="15"/>
        <v>250</v>
      </c>
      <c r="H23" s="117">
        <f t="shared" si="16"/>
        <v>100000</v>
      </c>
      <c r="I23" s="117">
        <v>66</v>
      </c>
      <c r="J23" s="117">
        <f t="shared" si="17"/>
        <v>3.7878787878787881</v>
      </c>
      <c r="K23" s="117">
        <f t="shared" si="18"/>
        <v>227.27272727272728</v>
      </c>
      <c r="L23" s="345"/>
    </row>
    <row r="24" spans="1:12" s="333" customFormat="1" ht="20.100000000000001" customHeight="1">
      <c r="A24" s="337">
        <v>6</v>
      </c>
      <c r="B24" s="355" t="s">
        <v>305</v>
      </c>
      <c r="C24" s="360" t="s">
        <v>24</v>
      </c>
      <c r="D24" s="346">
        <v>2000</v>
      </c>
      <c r="E24" s="344">
        <v>300</v>
      </c>
      <c r="F24" s="117">
        <f t="shared" si="14"/>
        <v>1.3333333333333333</v>
      </c>
      <c r="G24" s="117">
        <f t="shared" si="15"/>
        <v>6.666666666666667</v>
      </c>
      <c r="H24" s="117">
        <f t="shared" si="16"/>
        <v>2666.666666666667</v>
      </c>
      <c r="I24" s="117">
        <v>66</v>
      </c>
      <c r="J24" s="117">
        <f t="shared" si="17"/>
        <v>0.10101010101010101</v>
      </c>
      <c r="K24" s="117">
        <f t="shared" si="18"/>
        <v>30.303030303030301</v>
      </c>
      <c r="L24" s="345"/>
    </row>
    <row r="25" spans="1:12" s="333" customFormat="1" ht="20.100000000000001" customHeight="1">
      <c r="A25" s="337">
        <v>7</v>
      </c>
      <c r="B25" s="354" t="s">
        <v>292</v>
      </c>
      <c r="C25" s="359" t="s">
        <v>293</v>
      </c>
      <c r="D25" s="346">
        <v>15000</v>
      </c>
      <c r="E25" s="344">
        <v>250</v>
      </c>
      <c r="F25" s="117">
        <f t="shared" si="14"/>
        <v>1.6</v>
      </c>
      <c r="G25" s="117">
        <f t="shared" si="15"/>
        <v>60</v>
      </c>
      <c r="H25" s="117">
        <f t="shared" si="16"/>
        <v>24000</v>
      </c>
      <c r="I25" s="117">
        <v>66</v>
      </c>
      <c r="J25" s="117">
        <f t="shared" si="17"/>
        <v>0.90909090909090906</v>
      </c>
      <c r="K25" s="117">
        <f t="shared" si="18"/>
        <v>227.27272727272725</v>
      </c>
      <c r="L25" s="345"/>
    </row>
    <row r="26" spans="1:12" s="334" customFormat="1" ht="21.95" customHeight="1">
      <c r="A26" s="738" t="s">
        <v>291</v>
      </c>
      <c r="B26" s="739"/>
      <c r="C26" s="348"/>
      <c r="D26" s="347"/>
      <c r="E26" s="347"/>
      <c r="F26" s="347"/>
      <c r="G26" s="347"/>
      <c r="H26" s="348">
        <f t="shared" ref="H26:I26" si="19">SUM(H19:H25)</f>
        <v>184266.66666666666</v>
      </c>
      <c r="I26" s="348">
        <f t="shared" si="19"/>
        <v>462</v>
      </c>
      <c r="J26" s="348">
        <f>SUM(J19:J25)</f>
        <v>6.9797979797979801</v>
      </c>
      <c r="K26" s="347"/>
      <c r="L26" s="349"/>
    </row>
    <row r="27" spans="1:12" s="334" customFormat="1" ht="21.95" customHeight="1" thickBot="1">
      <c r="A27" s="740" t="s">
        <v>290</v>
      </c>
      <c r="B27" s="741"/>
      <c r="C27" s="351"/>
      <c r="D27" s="350"/>
      <c r="E27" s="350"/>
      <c r="F27" s="350"/>
      <c r="G27" s="350"/>
      <c r="H27" s="351">
        <f>SUM(H26,H17,H13,H8)</f>
        <v>263866.66666666663</v>
      </c>
      <c r="I27" s="351">
        <f t="shared" ref="I27" si="20">SUM(I26,I17,I13,I8)</f>
        <v>858</v>
      </c>
      <c r="J27" s="351">
        <f>SUM(J26,J17,J13,J8)</f>
        <v>9.9949494949494948</v>
      </c>
      <c r="K27" s="350"/>
      <c r="L27" s="352"/>
    </row>
    <row r="28" spans="1:12" s="335" customFormat="1" ht="32.25" customHeight="1">
      <c r="A28" s="721" t="s">
        <v>321</v>
      </c>
      <c r="B28" s="721"/>
      <c r="C28" s="721"/>
      <c r="D28" s="68"/>
      <c r="E28" s="68"/>
      <c r="F28" s="176"/>
      <c r="G28" s="68" t="s">
        <v>44</v>
      </c>
      <c r="H28" s="68" t="s">
        <v>217</v>
      </c>
      <c r="I28" s="244"/>
      <c r="J28" s="248"/>
      <c r="K28" s="244"/>
      <c r="L28" s="68"/>
    </row>
    <row r="29" spans="1:12" s="334" customFormat="1" ht="36.75" customHeight="1">
      <c r="A29" s="267" t="s">
        <v>318</v>
      </c>
      <c r="B29" s="268"/>
      <c r="C29" s="269" t="s">
        <v>48</v>
      </c>
      <c r="D29" s="270"/>
      <c r="E29" s="269" t="s">
        <v>200</v>
      </c>
      <c r="F29" s="269"/>
      <c r="G29" s="384" t="s">
        <v>319</v>
      </c>
      <c r="H29" s="324" t="s">
        <v>49</v>
      </c>
      <c r="I29" s="270"/>
      <c r="J29" s="324"/>
      <c r="K29" s="324"/>
      <c r="L29" s="39"/>
    </row>
    <row r="30" spans="1:12" ht="18.75">
      <c r="A30" s="271"/>
      <c r="B30" s="272"/>
      <c r="C30" s="271" t="s">
        <v>286</v>
      </c>
      <c r="D30" s="271"/>
      <c r="E30" s="244" t="s">
        <v>52</v>
      </c>
      <c r="F30" s="244"/>
      <c r="G30" s="271"/>
      <c r="H30" s="325" t="s">
        <v>54</v>
      </c>
      <c r="I30" s="271"/>
      <c r="J30" s="325"/>
      <c r="K30" s="323" t="s">
        <v>81</v>
      </c>
      <c r="L30" s="323"/>
    </row>
  </sheetData>
  <mergeCells count="15">
    <mergeCell ref="A26:B26"/>
    <mergeCell ref="A27:B27"/>
    <mergeCell ref="A28:C28"/>
    <mergeCell ref="A8:B8"/>
    <mergeCell ref="A9:L9"/>
    <mergeCell ref="A13:B13"/>
    <mergeCell ref="A14:L14"/>
    <mergeCell ref="A17:B17"/>
    <mergeCell ref="A18:L18"/>
    <mergeCell ref="A6:L6"/>
    <mergeCell ref="A1:L1"/>
    <mergeCell ref="A2:L2"/>
    <mergeCell ref="A3:L3"/>
    <mergeCell ref="A4:L4"/>
    <mergeCell ref="A5:B5"/>
  </mergeCells>
  <printOptions horizontalCentered="1"/>
  <pageMargins left="0.25" right="0.25" top="0.75" bottom="0.75" header="0.3" footer="0.3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rightToLeft="1" tabSelected="1" view="pageBreakPreview" topLeftCell="A7" zoomScaleSheetLayoutView="100" workbookViewId="0">
      <selection activeCell="A18" sqref="A18:L18"/>
    </sheetView>
  </sheetViews>
  <sheetFormatPr defaultColWidth="9.125" defaultRowHeight="15"/>
  <cols>
    <col min="1" max="1" width="9.125" style="330"/>
    <col min="2" max="2" width="36.75" style="330" customWidth="1"/>
    <col min="3" max="3" width="11.875" style="331" customWidth="1"/>
    <col min="4" max="5" width="11.875" style="330" customWidth="1"/>
    <col min="6" max="6" width="13.125" style="330" customWidth="1"/>
    <col min="7" max="7" width="11.875" style="330" customWidth="1"/>
    <col min="8" max="8" width="14.75" style="330" customWidth="1"/>
    <col min="9" max="9" width="12.75" style="330" customWidth="1"/>
    <col min="10" max="10" width="11.875" style="330" customWidth="1"/>
    <col min="11" max="11" width="12" style="330" customWidth="1"/>
    <col min="12" max="12" width="16" style="330" customWidth="1"/>
    <col min="13" max="16384" width="9.125" style="330"/>
  </cols>
  <sheetData>
    <row r="1" spans="1:12" s="332" customFormat="1" ht="22.5" customHeight="1">
      <c r="A1" s="731" t="s">
        <v>294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</row>
    <row r="2" spans="1:12" s="332" customFormat="1" ht="22.5" customHeight="1">
      <c r="A2" s="731" t="s">
        <v>284</v>
      </c>
      <c r="B2" s="731"/>
      <c r="C2" s="731"/>
      <c r="D2" s="731"/>
      <c r="E2" s="731"/>
      <c r="F2" s="731"/>
      <c r="G2" s="731"/>
      <c r="H2" s="731"/>
      <c r="I2" s="731"/>
      <c r="J2" s="731"/>
      <c r="K2" s="731"/>
      <c r="L2" s="731"/>
    </row>
    <row r="3" spans="1:12" s="332" customFormat="1" ht="22.5" customHeight="1" thickBot="1">
      <c r="A3" s="732" t="s">
        <v>295</v>
      </c>
      <c r="B3" s="732"/>
      <c r="C3" s="732"/>
      <c r="D3" s="732"/>
      <c r="E3" s="732"/>
      <c r="F3" s="732"/>
      <c r="G3" s="732"/>
      <c r="H3" s="732"/>
      <c r="I3" s="732"/>
      <c r="J3" s="732"/>
      <c r="K3" s="732"/>
      <c r="L3" s="732"/>
    </row>
    <row r="4" spans="1:12" ht="28.5" customHeight="1">
      <c r="A4" s="733" t="s">
        <v>309</v>
      </c>
      <c r="B4" s="734"/>
      <c r="C4" s="734"/>
      <c r="D4" s="734"/>
      <c r="E4" s="734"/>
      <c r="F4" s="734"/>
      <c r="G4" s="734"/>
      <c r="H4" s="734"/>
      <c r="I4" s="734"/>
      <c r="J4" s="734"/>
      <c r="K4" s="734"/>
      <c r="L4" s="735"/>
    </row>
    <row r="5" spans="1:12" s="334" customFormat="1" ht="40.5" customHeight="1">
      <c r="A5" s="736" t="s">
        <v>2</v>
      </c>
      <c r="B5" s="737"/>
      <c r="C5" s="356" t="s">
        <v>3</v>
      </c>
      <c r="D5" s="356" t="s">
        <v>4</v>
      </c>
      <c r="E5" s="356" t="s">
        <v>5</v>
      </c>
      <c r="F5" s="356" t="s">
        <v>6</v>
      </c>
      <c r="G5" s="356" t="s">
        <v>59</v>
      </c>
      <c r="H5" s="356" t="s">
        <v>8</v>
      </c>
      <c r="I5" s="357" t="s">
        <v>9</v>
      </c>
      <c r="J5" s="356" t="s">
        <v>79</v>
      </c>
      <c r="K5" s="356" t="s">
        <v>247</v>
      </c>
      <c r="L5" s="361" t="s">
        <v>12</v>
      </c>
    </row>
    <row r="6" spans="1:12" s="334" customFormat="1" ht="24.95" customHeight="1">
      <c r="A6" s="728" t="s">
        <v>209</v>
      </c>
      <c r="B6" s="729"/>
      <c r="C6" s="729"/>
      <c r="D6" s="729"/>
      <c r="E6" s="729"/>
      <c r="F6" s="729"/>
      <c r="G6" s="729"/>
      <c r="H6" s="729"/>
      <c r="I6" s="729"/>
      <c r="J6" s="729"/>
      <c r="K6" s="729"/>
      <c r="L6" s="730"/>
    </row>
    <row r="7" spans="1:12" s="333" customFormat="1" ht="20.100000000000001" customHeight="1">
      <c r="A7" s="337">
        <v>1</v>
      </c>
      <c r="B7" s="353" t="s">
        <v>289</v>
      </c>
      <c r="C7" s="344" t="s">
        <v>37</v>
      </c>
      <c r="D7" s="336">
        <v>6000</v>
      </c>
      <c r="E7" s="336">
        <v>60</v>
      </c>
      <c r="F7" s="117">
        <f>400/E7</f>
        <v>6.666666666666667</v>
      </c>
      <c r="G7" s="117">
        <f t="shared" ref="G7" si="0">D7/E7</f>
        <v>100</v>
      </c>
      <c r="H7" s="117">
        <f>(G7*F7*E7)</f>
        <v>40000.000000000007</v>
      </c>
      <c r="I7" s="117">
        <v>10</v>
      </c>
      <c r="J7" s="117">
        <f>G7/I7</f>
        <v>10</v>
      </c>
      <c r="K7" s="117">
        <f t="shared" ref="K7" si="1">J7*E7</f>
        <v>600</v>
      </c>
      <c r="L7" s="338"/>
    </row>
    <row r="8" spans="1:12" s="333" customFormat="1" ht="21.95" customHeight="1">
      <c r="A8" s="738" t="s">
        <v>291</v>
      </c>
      <c r="B8" s="739"/>
      <c r="C8" s="340"/>
      <c r="D8" s="339"/>
      <c r="E8" s="339"/>
      <c r="F8" s="339"/>
      <c r="G8" s="339"/>
      <c r="H8" s="339">
        <f>SUM(H7)</f>
        <v>40000.000000000007</v>
      </c>
      <c r="I8" s="339">
        <f>SUM(I7)</f>
        <v>10</v>
      </c>
      <c r="J8" s="340">
        <f>SUM(J7)</f>
        <v>10</v>
      </c>
      <c r="K8" s="339"/>
      <c r="L8" s="341"/>
    </row>
    <row r="9" spans="1:12" s="334" customFormat="1" ht="24.95" customHeight="1">
      <c r="A9" s="742" t="s">
        <v>298</v>
      </c>
      <c r="B9" s="743"/>
      <c r="C9" s="743"/>
      <c r="D9" s="743"/>
      <c r="E9" s="743"/>
      <c r="F9" s="743"/>
      <c r="G9" s="743"/>
      <c r="H9" s="743"/>
      <c r="I9" s="743"/>
      <c r="J9" s="743"/>
      <c r="K9" s="743"/>
      <c r="L9" s="744"/>
    </row>
    <row r="10" spans="1:12" s="333" customFormat="1" ht="20.100000000000001" customHeight="1">
      <c r="A10" s="337">
        <v>1</v>
      </c>
      <c r="B10" s="353" t="s">
        <v>301</v>
      </c>
      <c r="C10" s="358" t="s">
        <v>288</v>
      </c>
      <c r="D10" s="336">
        <v>10000</v>
      </c>
      <c r="E10" s="336">
        <v>80</v>
      </c>
      <c r="F10" s="117">
        <f t="shared" ref="F10:F12" si="2">400/E10</f>
        <v>5</v>
      </c>
      <c r="G10" s="117">
        <f t="shared" ref="G10:G12" si="3">D10/E10</f>
        <v>125</v>
      </c>
      <c r="H10" s="117">
        <f t="shared" ref="H10:H12" si="4">(G10*F10*E10)</f>
        <v>50000</v>
      </c>
      <c r="I10" s="117">
        <v>66</v>
      </c>
      <c r="J10" s="117">
        <f t="shared" ref="J10:J12" si="5">G10/I10</f>
        <v>1.893939393939394</v>
      </c>
      <c r="K10" s="117">
        <f t="shared" ref="K10:K12" si="6">J10*E10</f>
        <v>151.51515151515153</v>
      </c>
      <c r="L10" s="342"/>
    </row>
    <row r="11" spans="1:12" s="333" customFormat="1" ht="20.100000000000001" customHeight="1">
      <c r="A11" s="337">
        <v>2</v>
      </c>
      <c r="B11" s="354" t="s">
        <v>304</v>
      </c>
      <c r="C11" s="359" t="s">
        <v>288</v>
      </c>
      <c r="D11" s="336">
        <v>20000</v>
      </c>
      <c r="E11" s="336">
        <v>80</v>
      </c>
      <c r="F11" s="117">
        <f t="shared" si="2"/>
        <v>5</v>
      </c>
      <c r="G11" s="117">
        <f t="shared" si="3"/>
        <v>250</v>
      </c>
      <c r="H11" s="117">
        <f t="shared" si="4"/>
        <v>100000</v>
      </c>
      <c r="I11" s="117">
        <v>66</v>
      </c>
      <c r="J11" s="117">
        <f t="shared" si="5"/>
        <v>3.7878787878787881</v>
      </c>
      <c r="K11" s="117">
        <f t="shared" si="6"/>
        <v>303.03030303030306</v>
      </c>
      <c r="L11" s="342"/>
    </row>
    <row r="12" spans="1:12" s="333" customFormat="1" ht="20.100000000000001" customHeight="1">
      <c r="A12" s="337">
        <v>3</v>
      </c>
      <c r="B12" s="354" t="s">
        <v>302</v>
      </c>
      <c r="C12" s="359" t="s">
        <v>37</v>
      </c>
      <c r="D12" s="336">
        <v>25000</v>
      </c>
      <c r="E12" s="336">
        <v>250</v>
      </c>
      <c r="F12" s="117">
        <f t="shared" si="2"/>
        <v>1.6</v>
      </c>
      <c r="G12" s="117">
        <f t="shared" si="3"/>
        <v>100</v>
      </c>
      <c r="H12" s="117">
        <f t="shared" si="4"/>
        <v>40000</v>
      </c>
      <c r="I12" s="117">
        <v>66</v>
      </c>
      <c r="J12" s="117">
        <f t="shared" si="5"/>
        <v>1.5151515151515151</v>
      </c>
      <c r="K12" s="117">
        <f t="shared" si="6"/>
        <v>378.78787878787881</v>
      </c>
      <c r="L12" s="342"/>
    </row>
    <row r="13" spans="1:12" s="333" customFormat="1" ht="21.95" customHeight="1">
      <c r="A13" s="738" t="s">
        <v>291</v>
      </c>
      <c r="B13" s="739"/>
      <c r="C13" s="340"/>
      <c r="D13" s="339"/>
      <c r="E13" s="339"/>
      <c r="F13" s="339"/>
      <c r="G13" s="339"/>
      <c r="H13" s="339">
        <f t="shared" ref="H13:I13" si="7">SUM(H10:H12)</f>
        <v>190000</v>
      </c>
      <c r="I13" s="339">
        <f t="shared" si="7"/>
        <v>198</v>
      </c>
      <c r="J13" s="340">
        <f>SUM(J10:J12)</f>
        <v>7.1969696969696972</v>
      </c>
      <c r="K13" s="339"/>
      <c r="L13" s="341"/>
    </row>
    <row r="14" spans="1:12" s="334" customFormat="1" ht="24.95" customHeight="1">
      <c r="A14" s="742" t="s">
        <v>299</v>
      </c>
      <c r="B14" s="743"/>
      <c r="C14" s="743"/>
      <c r="D14" s="743"/>
      <c r="E14" s="743"/>
      <c r="F14" s="743"/>
      <c r="G14" s="743"/>
      <c r="H14" s="743"/>
      <c r="I14" s="743"/>
      <c r="J14" s="743"/>
      <c r="K14" s="743"/>
      <c r="L14" s="744"/>
    </row>
    <row r="15" spans="1:12" s="333" customFormat="1" ht="20.100000000000001" customHeight="1">
      <c r="A15" s="337">
        <v>1</v>
      </c>
      <c r="B15" s="354" t="s">
        <v>304</v>
      </c>
      <c r="C15" s="359" t="s">
        <v>288</v>
      </c>
      <c r="D15" s="336">
        <v>20000</v>
      </c>
      <c r="E15" s="336">
        <v>80</v>
      </c>
      <c r="F15" s="117">
        <f t="shared" ref="F15:F16" si="8">400/E15</f>
        <v>5</v>
      </c>
      <c r="G15" s="117">
        <f t="shared" ref="G15:G16" si="9">D15/E15</f>
        <v>250</v>
      </c>
      <c r="H15" s="117">
        <f t="shared" ref="H15:H16" si="10">(G15*F15*E15)</f>
        <v>100000</v>
      </c>
      <c r="I15" s="117">
        <v>66</v>
      </c>
      <c r="J15" s="117">
        <f t="shared" ref="J15:J16" si="11">G15/I15</f>
        <v>3.7878787878787881</v>
      </c>
      <c r="K15" s="117">
        <f t="shared" ref="K15:K16" si="12">J15*E15</f>
        <v>303.03030303030306</v>
      </c>
      <c r="L15" s="343"/>
    </row>
    <row r="16" spans="1:12" s="333" customFormat="1" ht="20.100000000000001" customHeight="1">
      <c r="A16" s="337">
        <v>2</v>
      </c>
      <c r="B16" s="336" t="s">
        <v>303</v>
      </c>
      <c r="C16" s="344" t="s">
        <v>227</v>
      </c>
      <c r="D16" s="336">
        <v>12</v>
      </c>
      <c r="E16" s="336">
        <v>1</v>
      </c>
      <c r="F16" s="117">
        <f t="shared" si="8"/>
        <v>400</v>
      </c>
      <c r="G16" s="117">
        <f t="shared" si="9"/>
        <v>12</v>
      </c>
      <c r="H16" s="117">
        <f t="shared" si="10"/>
        <v>4800</v>
      </c>
      <c r="I16" s="117">
        <v>66</v>
      </c>
      <c r="J16" s="117">
        <f t="shared" si="11"/>
        <v>0.18181818181818182</v>
      </c>
      <c r="K16" s="117">
        <f t="shared" si="12"/>
        <v>0.18181818181818182</v>
      </c>
      <c r="L16" s="345"/>
    </row>
    <row r="17" spans="1:12" s="333" customFormat="1" ht="21.95" customHeight="1">
      <c r="A17" s="738" t="s">
        <v>291</v>
      </c>
      <c r="B17" s="739"/>
      <c r="C17" s="340"/>
      <c r="D17" s="339"/>
      <c r="E17" s="339"/>
      <c r="F17" s="339"/>
      <c r="G17" s="339"/>
      <c r="H17" s="339">
        <f t="shared" ref="H17:I17" si="13">SUM(H15:H16)</f>
        <v>104800</v>
      </c>
      <c r="I17" s="339">
        <f t="shared" si="13"/>
        <v>132</v>
      </c>
      <c r="J17" s="340">
        <f>SUM(J15:J16)</f>
        <v>3.9696969696969697</v>
      </c>
      <c r="K17" s="339"/>
      <c r="L17" s="341"/>
    </row>
    <row r="18" spans="1:12" s="334" customFormat="1" ht="24.95" customHeight="1">
      <c r="A18" s="742" t="s">
        <v>300</v>
      </c>
      <c r="B18" s="743"/>
      <c r="C18" s="743"/>
      <c r="D18" s="743"/>
      <c r="E18" s="743"/>
      <c r="F18" s="743"/>
      <c r="G18" s="743"/>
      <c r="H18" s="743"/>
      <c r="I18" s="743"/>
      <c r="J18" s="743"/>
      <c r="K18" s="743"/>
      <c r="L18" s="744"/>
    </row>
    <row r="19" spans="1:12" s="333" customFormat="1" ht="20.100000000000001" customHeight="1">
      <c r="A19" s="337">
        <v>1</v>
      </c>
      <c r="B19" s="353" t="s">
        <v>301</v>
      </c>
      <c r="C19" s="358" t="s">
        <v>288</v>
      </c>
      <c r="D19" s="346">
        <v>10000</v>
      </c>
      <c r="E19" s="344">
        <v>80</v>
      </c>
      <c r="F19" s="117">
        <f t="shared" ref="F19:F25" si="14">400/E19</f>
        <v>5</v>
      </c>
      <c r="G19" s="117">
        <f t="shared" ref="G19:G25" si="15">D19/E19</f>
        <v>125</v>
      </c>
      <c r="H19" s="117">
        <f t="shared" ref="H19:H25" si="16">(G19*F19*E19)</f>
        <v>50000</v>
      </c>
      <c r="I19" s="117">
        <v>66</v>
      </c>
      <c r="J19" s="117">
        <f t="shared" ref="J19:J25" si="17">G19/I19</f>
        <v>1.893939393939394</v>
      </c>
      <c r="K19" s="117">
        <f t="shared" ref="K19:K25" si="18">J19*E19</f>
        <v>151.51515151515153</v>
      </c>
      <c r="L19" s="342"/>
    </row>
    <row r="20" spans="1:12" s="333" customFormat="1" ht="20.100000000000001" customHeight="1">
      <c r="A20" s="337">
        <v>2</v>
      </c>
      <c r="B20" s="354" t="s">
        <v>304</v>
      </c>
      <c r="C20" s="359" t="s">
        <v>288</v>
      </c>
      <c r="D20" s="336">
        <v>20000</v>
      </c>
      <c r="E20" s="344">
        <v>80</v>
      </c>
      <c r="F20" s="117">
        <f t="shared" si="14"/>
        <v>5</v>
      </c>
      <c r="G20" s="117">
        <f t="shared" si="15"/>
        <v>250</v>
      </c>
      <c r="H20" s="117">
        <f t="shared" si="16"/>
        <v>100000</v>
      </c>
      <c r="I20" s="117">
        <v>66</v>
      </c>
      <c r="J20" s="117">
        <f t="shared" si="17"/>
        <v>3.7878787878787881</v>
      </c>
      <c r="K20" s="117">
        <f t="shared" si="18"/>
        <v>303.03030303030306</v>
      </c>
      <c r="L20" s="345"/>
    </row>
    <row r="21" spans="1:12" s="333" customFormat="1" ht="20.100000000000001" customHeight="1">
      <c r="A21" s="337">
        <v>3</v>
      </c>
      <c r="B21" s="354" t="s">
        <v>302</v>
      </c>
      <c r="C21" s="359" t="s">
        <v>37</v>
      </c>
      <c r="D21" s="336">
        <v>40000</v>
      </c>
      <c r="E21" s="344">
        <v>250</v>
      </c>
      <c r="F21" s="117">
        <f t="shared" si="14"/>
        <v>1.6</v>
      </c>
      <c r="G21" s="117">
        <f t="shared" si="15"/>
        <v>160</v>
      </c>
      <c r="H21" s="117">
        <f t="shared" si="16"/>
        <v>64000</v>
      </c>
      <c r="I21" s="117">
        <v>66</v>
      </c>
      <c r="J21" s="117">
        <f t="shared" si="17"/>
        <v>2.4242424242424243</v>
      </c>
      <c r="K21" s="117">
        <f t="shared" si="18"/>
        <v>606.06060606060612</v>
      </c>
      <c r="L21" s="345"/>
    </row>
    <row r="22" spans="1:12" s="333" customFormat="1" ht="20.100000000000001" customHeight="1">
      <c r="A22" s="337">
        <v>4</v>
      </c>
      <c r="B22" s="354" t="s">
        <v>303</v>
      </c>
      <c r="C22" s="359" t="s">
        <v>227</v>
      </c>
      <c r="D22" s="336">
        <v>14</v>
      </c>
      <c r="E22" s="344">
        <v>1</v>
      </c>
      <c r="F22" s="117">
        <f t="shared" si="14"/>
        <v>400</v>
      </c>
      <c r="G22" s="117">
        <f t="shared" si="15"/>
        <v>14</v>
      </c>
      <c r="H22" s="117">
        <f t="shared" si="16"/>
        <v>5600</v>
      </c>
      <c r="I22" s="117">
        <v>66</v>
      </c>
      <c r="J22" s="117">
        <f t="shared" si="17"/>
        <v>0.21212121212121213</v>
      </c>
      <c r="K22" s="117">
        <f t="shared" si="18"/>
        <v>0.21212121212121213</v>
      </c>
      <c r="L22" s="345"/>
    </row>
    <row r="23" spans="1:12" s="333" customFormat="1" ht="20.100000000000001" customHeight="1">
      <c r="A23" s="337">
        <v>5</v>
      </c>
      <c r="B23" s="354" t="s">
        <v>289</v>
      </c>
      <c r="C23" s="359" t="s">
        <v>37</v>
      </c>
      <c r="D23" s="336">
        <v>45000</v>
      </c>
      <c r="E23" s="344">
        <v>60</v>
      </c>
      <c r="F23" s="117">
        <f t="shared" si="14"/>
        <v>6.666666666666667</v>
      </c>
      <c r="G23" s="117">
        <f t="shared" si="15"/>
        <v>750</v>
      </c>
      <c r="H23" s="117">
        <f t="shared" si="16"/>
        <v>300000</v>
      </c>
      <c r="I23" s="117">
        <v>66</v>
      </c>
      <c r="J23" s="117">
        <f t="shared" si="17"/>
        <v>11.363636363636363</v>
      </c>
      <c r="K23" s="117">
        <f t="shared" si="18"/>
        <v>681.81818181818176</v>
      </c>
      <c r="L23" s="345"/>
    </row>
    <row r="24" spans="1:12" s="333" customFormat="1" ht="20.100000000000001" customHeight="1">
      <c r="A24" s="337">
        <v>6</v>
      </c>
      <c r="B24" s="355" t="s">
        <v>305</v>
      </c>
      <c r="C24" s="360" t="s">
        <v>24</v>
      </c>
      <c r="D24" s="346">
        <v>5000</v>
      </c>
      <c r="E24" s="344">
        <v>300</v>
      </c>
      <c r="F24" s="117">
        <f t="shared" si="14"/>
        <v>1.3333333333333333</v>
      </c>
      <c r="G24" s="117">
        <f t="shared" si="15"/>
        <v>16.666666666666668</v>
      </c>
      <c r="H24" s="117">
        <f t="shared" si="16"/>
        <v>6666.6666666666661</v>
      </c>
      <c r="I24" s="117">
        <v>66</v>
      </c>
      <c r="J24" s="117">
        <f t="shared" si="17"/>
        <v>0.25252525252525254</v>
      </c>
      <c r="K24" s="117">
        <f t="shared" si="18"/>
        <v>75.757575757575765</v>
      </c>
      <c r="L24" s="345"/>
    </row>
    <row r="25" spans="1:12" s="333" customFormat="1" ht="20.100000000000001" customHeight="1">
      <c r="A25" s="337">
        <v>7</v>
      </c>
      <c r="B25" s="354" t="s">
        <v>292</v>
      </c>
      <c r="C25" s="359" t="s">
        <v>293</v>
      </c>
      <c r="D25" s="346">
        <v>43000</v>
      </c>
      <c r="E25" s="344">
        <v>250</v>
      </c>
      <c r="F25" s="117">
        <f t="shared" si="14"/>
        <v>1.6</v>
      </c>
      <c r="G25" s="117">
        <f t="shared" si="15"/>
        <v>172</v>
      </c>
      <c r="H25" s="117">
        <f t="shared" si="16"/>
        <v>68800</v>
      </c>
      <c r="I25" s="117">
        <v>66</v>
      </c>
      <c r="J25" s="117">
        <f t="shared" si="17"/>
        <v>2.606060606060606</v>
      </c>
      <c r="K25" s="117">
        <f t="shared" si="18"/>
        <v>651.5151515151515</v>
      </c>
      <c r="L25" s="345"/>
    </row>
    <row r="26" spans="1:12" s="334" customFormat="1" ht="21.95" customHeight="1">
      <c r="A26" s="738" t="s">
        <v>291</v>
      </c>
      <c r="B26" s="739"/>
      <c r="C26" s="348"/>
      <c r="D26" s="347"/>
      <c r="E26" s="347"/>
      <c r="F26" s="347"/>
      <c r="G26" s="347"/>
      <c r="H26" s="348">
        <f t="shared" ref="H26:I26" si="19">SUM(H19:H25)</f>
        <v>595066.66666666663</v>
      </c>
      <c r="I26" s="348">
        <f t="shared" si="19"/>
        <v>462</v>
      </c>
      <c r="J26" s="348">
        <f>SUM(J19:J25)</f>
        <v>22.540404040404038</v>
      </c>
      <c r="K26" s="347"/>
      <c r="L26" s="349"/>
    </row>
    <row r="27" spans="1:12" s="334" customFormat="1" ht="21.95" customHeight="1" thickBot="1">
      <c r="A27" s="740" t="s">
        <v>290</v>
      </c>
      <c r="B27" s="741"/>
      <c r="C27" s="351"/>
      <c r="D27" s="350"/>
      <c r="E27" s="350"/>
      <c r="F27" s="350"/>
      <c r="G27" s="350"/>
      <c r="H27" s="351">
        <f>SUM(H26,H17,H13,H8)</f>
        <v>929866.66666666663</v>
      </c>
      <c r="I27" s="351">
        <f t="shared" ref="I27" si="20">SUM(I26,I17,I13,I8)</f>
        <v>802</v>
      </c>
      <c r="J27" s="351">
        <f>SUM(J26,J17,J13,J8)</f>
        <v>43.707070707070706</v>
      </c>
      <c r="K27" s="350"/>
      <c r="L27" s="352"/>
    </row>
    <row r="28" spans="1:12" s="335" customFormat="1" ht="32.25" customHeight="1">
      <c r="A28" s="721" t="s">
        <v>321</v>
      </c>
      <c r="B28" s="721"/>
      <c r="C28" s="721"/>
      <c r="D28" s="68"/>
      <c r="E28" s="68"/>
      <c r="F28" s="176"/>
      <c r="G28" s="68" t="s">
        <v>44</v>
      </c>
      <c r="H28" s="68" t="s">
        <v>217</v>
      </c>
      <c r="I28" s="244"/>
      <c r="J28" s="248"/>
      <c r="K28" s="244"/>
      <c r="L28" s="68"/>
    </row>
    <row r="29" spans="1:12" s="334" customFormat="1" ht="37.5" customHeight="1">
      <c r="A29" s="267" t="s">
        <v>318</v>
      </c>
      <c r="B29" s="268"/>
      <c r="C29" s="269" t="s">
        <v>48</v>
      </c>
      <c r="D29" s="270"/>
      <c r="E29" s="269" t="s">
        <v>200</v>
      </c>
      <c r="F29" s="269"/>
      <c r="G29" s="384" t="s">
        <v>319</v>
      </c>
      <c r="H29" s="324" t="s">
        <v>49</v>
      </c>
      <c r="I29" s="270"/>
      <c r="J29" s="324"/>
      <c r="K29" s="324"/>
      <c r="L29" s="39"/>
    </row>
    <row r="30" spans="1:12" ht="18.75">
      <c r="A30" s="271"/>
      <c r="B30" s="272"/>
      <c r="C30" s="271" t="s">
        <v>286</v>
      </c>
      <c r="D30" s="271"/>
      <c r="E30" s="244" t="s">
        <v>52</v>
      </c>
      <c r="F30" s="244"/>
      <c r="G30" s="271"/>
      <c r="H30" s="325" t="s">
        <v>54</v>
      </c>
      <c r="I30" s="271"/>
      <c r="J30" s="325"/>
      <c r="K30" s="323" t="s">
        <v>81</v>
      </c>
      <c r="L30" s="323"/>
    </row>
  </sheetData>
  <mergeCells count="15">
    <mergeCell ref="A26:B26"/>
    <mergeCell ref="A27:B27"/>
    <mergeCell ref="A28:C28"/>
    <mergeCell ref="A8:B8"/>
    <mergeCell ref="A9:L9"/>
    <mergeCell ref="A13:B13"/>
    <mergeCell ref="A14:L14"/>
    <mergeCell ref="A17:B17"/>
    <mergeCell ref="A18:L18"/>
    <mergeCell ref="A6:L6"/>
    <mergeCell ref="A1:L1"/>
    <mergeCell ref="A2:L2"/>
    <mergeCell ref="A3:L3"/>
    <mergeCell ref="A4:L4"/>
    <mergeCell ref="A5:B5"/>
  </mergeCells>
  <printOptions horizontalCentered="1"/>
  <pageMargins left="0.25" right="0.25" top="0.75" bottom="0.75" header="0.3" footer="0.3"/>
  <pageSetup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rightToLeft="1" view="pageBreakPreview" topLeftCell="A16" zoomScaleSheetLayoutView="100" workbookViewId="0">
      <selection activeCell="G24" sqref="G24"/>
    </sheetView>
  </sheetViews>
  <sheetFormatPr defaultColWidth="9.125" defaultRowHeight="15"/>
  <cols>
    <col min="1" max="1" width="9.125" style="330"/>
    <col min="2" max="2" width="36.75" style="330" customWidth="1"/>
    <col min="3" max="3" width="11.875" style="331" customWidth="1"/>
    <col min="4" max="5" width="11.875" style="330" customWidth="1"/>
    <col min="6" max="6" width="13.125" style="330" customWidth="1"/>
    <col min="7" max="7" width="11.875" style="330" customWidth="1"/>
    <col min="8" max="8" width="14.75" style="330" customWidth="1"/>
    <col min="9" max="9" width="12.75" style="330" customWidth="1"/>
    <col min="10" max="10" width="11.875" style="330" customWidth="1"/>
    <col min="11" max="11" width="12" style="330" customWidth="1"/>
    <col min="12" max="12" width="16" style="330" customWidth="1"/>
    <col min="13" max="16384" width="9.125" style="330"/>
  </cols>
  <sheetData>
    <row r="1" spans="1:12" s="332" customFormat="1" ht="22.5" customHeight="1">
      <c r="A1" s="731" t="s">
        <v>294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</row>
    <row r="2" spans="1:12" s="332" customFormat="1" ht="22.5" customHeight="1">
      <c r="A2" s="731" t="s">
        <v>284</v>
      </c>
      <c r="B2" s="731"/>
      <c r="C2" s="731"/>
      <c r="D2" s="731"/>
      <c r="E2" s="731"/>
      <c r="F2" s="731"/>
      <c r="G2" s="731"/>
      <c r="H2" s="731"/>
      <c r="I2" s="731"/>
      <c r="J2" s="731"/>
      <c r="K2" s="731"/>
      <c r="L2" s="731"/>
    </row>
    <row r="3" spans="1:12" s="332" customFormat="1" ht="22.5" customHeight="1" thickBot="1">
      <c r="A3" s="732" t="s">
        <v>295</v>
      </c>
      <c r="B3" s="732"/>
      <c r="C3" s="732"/>
      <c r="D3" s="732"/>
      <c r="E3" s="732"/>
      <c r="F3" s="732"/>
      <c r="G3" s="732"/>
      <c r="H3" s="732"/>
      <c r="I3" s="732"/>
      <c r="J3" s="732"/>
      <c r="K3" s="732"/>
      <c r="L3" s="732"/>
    </row>
    <row r="4" spans="1:12" ht="28.5" customHeight="1">
      <c r="A4" s="733" t="s">
        <v>308</v>
      </c>
      <c r="B4" s="734"/>
      <c r="C4" s="734"/>
      <c r="D4" s="734"/>
      <c r="E4" s="734"/>
      <c r="F4" s="734"/>
      <c r="G4" s="734"/>
      <c r="H4" s="734"/>
      <c r="I4" s="734"/>
      <c r="J4" s="734"/>
      <c r="K4" s="734"/>
      <c r="L4" s="735"/>
    </row>
    <row r="5" spans="1:12" s="334" customFormat="1" ht="40.5" customHeight="1">
      <c r="A5" s="736" t="s">
        <v>2</v>
      </c>
      <c r="B5" s="737"/>
      <c r="C5" s="356" t="s">
        <v>3</v>
      </c>
      <c r="D5" s="356" t="s">
        <v>4</v>
      </c>
      <c r="E5" s="356" t="s">
        <v>5</v>
      </c>
      <c r="F5" s="356" t="s">
        <v>6</v>
      </c>
      <c r="G5" s="356" t="s">
        <v>59</v>
      </c>
      <c r="H5" s="356" t="s">
        <v>8</v>
      </c>
      <c r="I5" s="357" t="s">
        <v>9</v>
      </c>
      <c r="J5" s="356" t="s">
        <v>79</v>
      </c>
      <c r="K5" s="356" t="s">
        <v>247</v>
      </c>
      <c r="L5" s="361" t="s">
        <v>12</v>
      </c>
    </row>
    <row r="6" spans="1:12" s="334" customFormat="1" ht="24.95" customHeight="1">
      <c r="A6" s="728" t="s">
        <v>209</v>
      </c>
      <c r="B6" s="729"/>
      <c r="C6" s="729"/>
      <c r="D6" s="729"/>
      <c r="E6" s="729"/>
      <c r="F6" s="729"/>
      <c r="G6" s="729"/>
      <c r="H6" s="729"/>
      <c r="I6" s="729"/>
      <c r="J6" s="729"/>
      <c r="K6" s="729"/>
      <c r="L6" s="730"/>
    </row>
    <row r="7" spans="1:12" s="333" customFormat="1" ht="20.100000000000001" customHeight="1">
      <c r="A7" s="337">
        <v>1</v>
      </c>
      <c r="B7" s="353" t="s">
        <v>289</v>
      </c>
      <c r="C7" s="344" t="s">
        <v>37</v>
      </c>
      <c r="D7" s="336">
        <v>7000</v>
      </c>
      <c r="E7" s="336">
        <v>60</v>
      </c>
      <c r="F7" s="117">
        <f>400/E7</f>
        <v>6.666666666666667</v>
      </c>
      <c r="G7" s="117">
        <f t="shared" ref="G7" si="0">D7/E7</f>
        <v>116.66666666666667</v>
      </c>
      <c r="H7" s="117">
        <f>(G7*F7*E7)</f>
        <v>46666.666666666672</v>
      </c>
      <c r="I7" s="117">
        <v>66</v>
      </c>
      <c r="J7" s="117">
        <f>G7/I7</f>
        <v>1.7676767676767677</v>
      </c>
      <c r="K7" s="117">
        <f t="shared" ref="K7" si="1">J7*E7</f>
        <v>106.06060606060606</v>
      </c>
      <c r="L7" s="338"/>
    </row>
    <row r="8" spans="1:12" s="333" customFormat="1" ht="21.95" customHeight="1">
      <c r="A8" s="738" t="s">
        <v>291</v>
      </c>
      <c r="B8" s="739"/>
      <c r="C8" s="340"/>
      <c r="D8" s="339"/>
      <c r="E8" s="339"/>
      <c r="F8" s="339"/>
      <c r="G8" s="339"/>
      <c r="H8" s="339">
        <f>SUM(H7)</f>
        <v>46666.666666666672</v>
      </c>
      <c r="I8" s="339">
        <f>SUM(I7)</f>
        <v>66</v>
      </c>
      <c r="J8" s="340">
        <f>SUM(J7)</f>
        <v>1.7676767676767677</v>
      </c>
      <c r="K8" s="339"/>
      <c r="L8" s="341"/>
    </row>
    <row r="9" spans="1:12" s="334" customFormat="1" ht="24.95" customHeight="1">
      <c r="A9" s="742" t="s">
        <v>298</v>
      </c>
      <c r="B9" s="743"/>
      <c r="C9" s="743"/>
      <c r="D9" s="743"/>
      <c r="E9" s="743"/>
      <c r="F9" s="743"/>
      <c r="G9" s="743"/>
      <c r="H9" s="743"/>
      <c r="I9" s="743"/>
      <c r="J9" s="743"/>
      <c r="K9" s="743"/>
      <c r="L9" s="744"/>
    </row>
    <row r="10" spans="1:12" s="333" customFormat="1" ht="20.100000000000001" customHeight="1">
      <c r="A10" s="337">
        <v>1</v>
      </c>
      <c r="B10" s="353" t="s">
        <v>301</v>
      </c>
      <c r="C10" s="358" t="s">
        <v>288</v>
      </c>
      <c r="D10" s="336">
        <v>4000</v>
      </c>
      <c r="E10" s="336">
        <v>80</v>
      </c>
      <c r="F10" s="117">
        <f t="shared" ref="F10:F12" si="2">400/E10</f>
        <v>5</v>
      </c>
      <c r="G10" s="117">
        <f t="shared" ref="G10:G12" si="3">D10/E10</f>
        <v>50</v>
      </c>
      <c r="H10" s="117">
        <f t="shared" ref="H10:H12" si="4">(G10*F10*E10)</f>
        <v>20000</v>
      </c>
      <c r="I10" s="117">
        <v>66</v>
      </c>
      <c r="J10" s="117">
        <f t="shared" ref="J10:J12" si="5">G10/I10</f>
        <v>0.75757575757575757</v>
      </c>
      <c r="K10" s="117">
        <f t="shared" ref="K10:K12" si="6">J10*E10</f>
        <v>60.606060606060609</v>
      </c>
      <c r="L10" s="342"/>
    </row>
    <row r="11" spans="1:12" s="333" customFormat="1" ht="20.100000000000001" customHeight="1">
      <c r="A11" s="337">
        <v>2</v>
      </c>
      <c r="B11" s="354" t="s">
        <v>304</v>
      </c>
      <c r="C11" s="359" t="s">
        <v>288</v>
      </c>
      <c r="D11" s="336">
        <v>4000</v>
      </c>
      <c r="E11" s="336">
        <v>80</v>
      </c>
      <c r="F11" s="117">
        <f t="shared" si="2"/>
        <v>5</v>
      </c>
      <c r="G11" s="117">
        <f t="shared" si="3"/>
        <v>50</v>
      </c>
      <c r="H11" s="117">
        <f t="shared" si="4"/>
        <v>20000</v>
      </c>
      <c r="I11" s="117">
        <v>66</v>
      </c>
      <c r="J11" s="117">
        <f t="shared" si="5"/>
        <v>0.75757575757575757</v>
      </c>
      <c r="K11" s="117">
        <f t="shared" si="6"/>
        <v>60.606060606060609</v>
      </c>
      <c r="L11" s="342"/>
    </row>
    <row r="12" spans="1:12" s="333" customFormat="1" ht="20.100000000000001" customHeight="1">
      <c r="A12" s="337">
        <v>3</v>
      </c>
      <c r="B12" s="354" t="s">
        <v>302</v>
      </c>
      <c r="C12" s="359" t="s">
        <v>37</v>
      </c>
      <c r="D12" s="336">
        <v>5000</v>
      </c>
      <c r="E12" s="336">
        <v>250</v>
      </c>
      <c r="F12" s="117">
        <f t="shared" si="2"/>
        <v>1.6</v>
      </c>
      <c r="G12" s="117">
        <f t="shared" si="3"/>
        <v>20</v>
      </c>
      <c r="H12" s="117">
        <f t="shared" si="4"/>
        <v>8000</v>
      </c>
      <c r="I12" s="117">
        <v>66</v>
      </c>
      <c r="J12" s="117">
        <f t="shared" si="5"/>
        <v>0.30303030303030304</v>
      </c>
      <c r="K12" s="117">
        <f t="shared" si="6"/>
        <v>75.757575757575765</v>
      </c>
      <c r="L12" s="342"/>
    </row>
    <row r="13" spans="1:12" s="333" customFormat="1" ht="21.95" customHeight="1">
      <c r="A13" s="738" t="s">
        <v>291</v>
      </c>
      <c r="B13" s="739"/>
      <c r="C13" s="340"/>
      <c r="D13" s="339"/>
      <c r="E13" s="339"/>
      <c r="F13" s="339"/>
      <c r="G13" s="339"/>
      <c r="H13" s="339">
        <f t="shared" ref="H13:I13" si="7">SUM(H10:H12)</f>
        <v>48000</v>
      </c>
      <c r="I13" s="339">
        <f t="shared" si="7"/>
        <v>198</v>
      </c>
      <c r="J13" s="340">
        <f>SUM(J10:J12)</f>
        <v>1.8181818181818181</v>
      </c>
      <c r="K13" s="339"/>
      <c r="L13" s="341"/>
    </row>
    <row r="14" spans="1:12" s="334" customFormat="1" ht="24.95" customHeight="1">
      <c r="A14" s="742" t="s">
        <v>299</v>
      </c>
      <c r="B14" s="743"/>
      <c r="C14" s="743"/>
      <c r="D14" s="743"/>
      <c r="E14" s="743"/>
      <c r="F14" s="743"/>
      <c r="G14" s="743"/>
      <c r="H14" s="743"/>
      <c r="I14" s="743"/>
      <c r="J14" s="743"/>
      <c r="K14" s="743"/>
      <c r="L14" s="744"/>
    </row>
    <row r="15" spans="1:12" s="333" customFormat="1" ht="20.100000000000001" customHeight="1">
      <c r="A15" s="337">
        <v>1</v>
      </c>
      <c r="B15" s="354" t="s">
        <v>304</v>
      </c>
      <c r="C15" s="359" t="s">
        <v>288</v>
      </c>
      <c r="D15" s="336">
        <v>4000</v>
      </c>
      <c r="E15" s="336">
        <v>80</v>
      </c>
      <c r="F15" s="117">
        <f t="shared" ref="F15:F16" si="8">400/E15</f>
        <v>5</v>
      </c>
      <c r="G15" s="117">
        <f t="shared" ref="G15:G16" si="9">D15/E15</f>
        <v>50</v>
      </c>
      <c r="H15" s="117">
        <f t="shared" ref="H15:H16" si="10">(G15*F15*E15)</f>
        <v>20000</v>
      </c>
      <c r="I15" s="117">
        <v>66</v>
      </c>
      <c r="J15" s="117">
        <f t="shared" ref="J15:J16" si="11">G15/I15</f>
        <v>0.75757575757575757</v>
      </c>
      <c r="K15" s="117">
        <f t="shared" ref="K15:K16" si="12">J15*E15</f>
        <v>60.606060606060609</v>
      </c>
      <c r="L15" s="343"/>
    </row>
    <row r="16" spans="1:12" s="333" customFormat="1" ht="20.100000000000001" customHeight="1">
      <c r="A16" s="337">
        <v>2</v>
      </c>
      <c r="B16" s="336" t="s">
        <v>303</v>
      </c>
      <c r="C16" s="344" t="s">
        <v>227</v>
      </c>
      <c r="D16" s="336">
        <v>5</v>
      </c>
      <c r="E16" s="336">
        <v>1</v>
      </c>
      <c r="F16" s="117">
        <f t="shared" si="8"/>
        <v>400</v>
      </c>
      <c r="G16" s="117">
        <f t="shared" si="9"/>
        <v>5</v>
      </c>
      <c r="H16" s="117">
        <f t="shared" si="10"/>
        <v>2000</v>
      </c>
      <c r="I16" s="117">
        <v>66</v>
      </c>
      <c r="J16" s="117">
        <f t="shared" si="11"/>
        <v>7.575757575757576E-2</v>
      </c>
      <c r="K16" s="117">
        <f t="shared" si="12"/>
        <v>7.575757575757576E-2</v>
      </c>
      <c r="L16" s="345"/>
    </row>
    <row r="17" spans="1:12" s="333" customFormat="1" ht="21.95" customHeight="1">
      <c r="A17" s="738" t="s">
        <v>291</v>
      </c>
      <c r="B17" s="739"/>
      <c r="C17" s="340"/>
      <c r="D17" s="339"/>
      <c r="E17" s="339"/>
      <c r="F17" s="339"/>
      <c r="G17" s="339"/>
      <c r="H17" s="339">
        <f t="shared" ref="H17:I17" si="13">SUM(H15:H16)</f>
        <v>22000</v>
      </c>
      <c r="I17" s="339">
        <f t="shared" si="13"/>
        <v>132</v>
      </c>
      <c r="J17" s="340">
        <f>SUM(J15:J16)</f>
        <v>0.83333333333333337</v>
      </c>
      <c r="K17" s="339"/>
      <c r="L17" s="341"/>
    </row>
    <row r="18" spans="1:12" s="334" customFormat="1" ht="24.95" customHeight="1">
      <c r="A18" s="742" t="s">
        <v>300</v>
      </c>
      <c r="B18" s="743"/>
      <c r="C18" s="743"/>
      <c r="D18" s="743"/>
      <c r="E18" s="743"/>
      <c r="F18" s="743"/>
      <c r="G18" s="743"/>
      <c r="H18" s="743"/>
      <c r="I18" s="743"/>
      <c r="J18" s="743"/>
      <c r="K18" s="743"/>
      <c r="L18" s="744"/>
    </row>
    <row r="19" spans="1:12" s="333" customFormat="1" ht="20.100000000000001" customHeight="1">
      <c r="A19" s="337">
        <v>1</v>
      </c>
      <c r="B19" s="353" t="s">
        <v>301</v>
      </c>
      <c r="C19" s="358" t="s">
        <v>288</v>
      </c>
      <c r="D19" s="346">
        <v>1000</v>
      </c>
      <c r="E19" s="344">
        <v>80</v>
      </c>
      <c r="F19" s="117">
        <f t="shared" ref="F19:F25" si="14">400/E19</f>
        <v>5</v>
      </c>
      <c r="G19" s="117">
        <f t="shared" ref="G19:G25" si="15">D19/E19</f>
        <v>12.5</v>
      </c>
      <c r="H19" s="117">
        <f t="shared" ref="H19:H25" si="16">(G19*F19*E19)</f>
        <v>5000</v>
      </c>
      <c r="I19" s="117">
        <v>66</v>
      </c>
      <c r="J19" s="117">
        <f t="shared" ref="J19:J25" si="17">G19/I19</f>
        <v>0.18939393939393939</v>
      </c>
      <c r="K19" s="117">
        <f t="shared" ref="K19:K25" si="18">J19*E19</f>
        <v>15.151515151515152</v>
      </c>
      <c r="L19" s="342"/>
    </row>
    <row r="20" spans="1:12" s="333" customFormat="1" ht="20.100000000000001" customHeight="1">
      <c r="A20" s="337">
        <v>2</v>
      </c>
      <c r="B20" s="354" t="s">
        <v>304</v>
      </c>
      <c r="C20" s="359" t="s">
        <v>288</v>
      </c>
      <c r="D20" s="336">
        <v>4000</v>
      </c>
      <c r="E20" s="344">
        <v>80</v>
      </c>
      <c r="F20" s="117">
        <f t="shared" si="14"/>
        <v>5</v>
      </c>
      <c r="G20" s="117">
        <f t="shared" si="15"/>
        <v>50</v>
      </c>
      <c r="H20" s="117">
        <f t="shared" si="16"/>
        <v>20000</v>
      </c>
      <c r="I20" s="117">
        <v>66</v>
      </c>
      <c r="J20" s="117">
        <f t="shared" si="17"/>
        <v>0.75757575757575757</v>
      </c>
      <c r="K20" s="117">
        <f t="shared" si="18"/>
        <v>60.606060606060609</v>
      </c>
      <c r="L20" s="345"/>
    </row>
    <row r="21" spans="1:12" s="333" customFormat="1" ht="20.100000000000001" customHeight="1">
      <c r="A21" s="337">
        <v>3</v>
      </c>
      <c r="B21" s="354" t="s">
        <v>302</v>
      </c>
      <c r="C21" s="359" t="s">
        <v>37</v>
      </c>
      <c r="D21" s="336">
        <v>12000</v>
      </c>
      <c r="E21" s="344">
        <v>250</v>
      </c>
      <c r="F21" s="117">
        <f t="shared" si="14"/>
        <v>1.6</v>
      </c>
      <c r="G21" s="117">
        <f t="shared" si="15"/>
        <v>48</v>
      </c>
      <c r="H21" s="117">
        <f t="shared" si="16"/>
        <v>19200.000000000004</v>
      </c>
      <c r="I21" s="117">
        <v>66</v>
      </c>
      <c r="J21" s="117">
        <f t="shared" si="17"/>
        <v>0.72727272727272729</v>
      </c>
      <c r="K21" s="117">
        <f t="shared" si="18"/>
        <v>181.81818181818181</v>
      </c>
      <c r="L21" s="345"/>
    </row>
    <row r="22" spans="1:12" s="333" customFormat="1" ht="20.100000000000001" customHeight="1">
      <c r="A22" s="337">
        <v>4</v>
      </c>
      <c r="B22" s="354" t="s">
        <v>303</v>
      </c>
      <c r="C22" s="359" t="s">
        <v>227</v>
      </c>
      <c r="D22" s="336">
        <v>5</v>
      </c>
      <c r="E22" s="344">
        <v>1</v>
      </c>
      <c r="F22" s="117">
        <f t="shared" si="14"/>
        <v>400</v>
      </c>
      <c r="G22" s="117">
        <f t="shared" si="15"/>
        <v>5</v>
      </c>
      <c r="H22" s="117">
        <f t="shared" si="16"/>
        <v>2000</v>
      </c>
      <c r="I22" s="117">
        <v>66</v>
      </c>
      <c r="J22" s="117">
        <f t="shared" si="17"/>
        <v>7.575757575757576E-2</v>
      </c>
      <c r="K22" s="117">
        <f t="shared" si="18"/>
        <v>7.575757575757576E-2</v>
      </c>
      <c r="L22" s="345"/>
    </row>
    <row r="23" spans="1:12" s="333" customFormat="1" ht="20.100000000000001" customHeight="1">
      <c r="A23" s="337">
        <v>5</v>
      </c>
      <c r="B23" s="354" t="s">
        <v>289</v>
      </c>
      <c r="C23" s="359" t="s">
        <v>37</v>
      </c>
      <c r="D23" s="336">
        <v>10000</v>
      </c>
      <c r="E23" s="344">
        <v>60</v>
      </c>
      <c r="F23" s="117">
        <f t="shared" si="14"/>
        <v>6.666666666666667</v>
      </c>
      <c r="G23" s="117">
        <f t="shared" si="15"/>
        <v>166.66666666666666</v>
      </c>
      <c r="H23" s="117">
        <f t="shared" si="16"/>
        <v>66666.666666666672</v>
      </c>
      <c r="I23" s="117">
        <v>66</v>
      </c>
      <c r="J23" s="117">
        <f t="shared" si="17"/>
        <v>2.5252525252525251</v>
      </c>
      <c r="K23" s="117">
        <f t="shared" si="18"/>
        <v>151.5151515151515</v>
      </c>
      <c r="L23" s="345"/>
    </row>
    <row r="24" spans="1:12" s="333" customFormat="1" ht="20.100000000000001" customHeight="1">
      <c r="A24" s="337">
        <v>6</v>
      </c>
      <c r="B24" s="355" t="s">
        <v>305</v>
      </c>
      <c r="C24" s="360" t="s">
        <v>24</v>
      </c>
      <c r="D24" s="346">
        <v>1000</v>
      </c>
      <c r="E24" s="344">
        <v>300</v>
      </c>
      <c r="F24" s="117">
        <f t="shared" si="14"/>
        <v>1.3333333333333333</v>
      </c>
      <c r="G24" s="117">
        <f t="shared" si="15"/>
        <v>3.3333333333333335</v>
      </c>
      <c r="H24" s="117">
        <f t="shared" si="16"/>
        <v>1333.3333333333335</v>
      </c>
      <c r="I24" s="117">
        <v>66</v>
      </c>
      <c r="J24" s="117">
        <f t="shared" si="17"/>
        <v>5.0505050505050504E-2</v>
      </c>
      <c r="K24" s="117">
        <f t="shared" si="18"/>
        <v>15.15151515151515</v>
      </c>
      <c r="L24" s="345"/>
    </row>
    <row r="25" spans="1:12" s="333" customFormat="1" ht="20.100000000000001" customHeight="1">
      <c r="A25" s="337">
        <v>7</v>
      </c>
      <c r="B25" s="354" t="s">
        <v>292</v>
      </c>
      <c r="C25" s="359" t="s">
        <v>293</v>
      </c>
      <c r="D25" s="346">
        <v>13000</v>
      </c>
      <c r="E25" s="344">
        <v>250</v>
      </c>
      <c r="F25" s="117">
        <f t="shared" si="14"/>
        <v>1.6</v>
      </c>
      <c r="G25" s="117">
        <f t="shared" si="15"/>
        <v>52</v>
      </c>
      <c r="H25" s="117">
        <f t="shared" si="16"/>
        <v>20800</v>
      </c>
      <c r="I25" s="117">
        <v>66</v>
      </c>
      <c r="J25" s="117">
        <f t="shared" si="17"/>
        <v>0.78787878787878785</v>
      </c>
      <c r="K25" s="117">
        <f t="shared" si="18"/>
        <v>196.96969696969697</v>
      </c>
      <c r="L25" s="345"/>
    </row>
    <row r="26" spans="1:12" s="334" customFormat="1" ht="21.95" customHeight="1">
      <c r="A26" s="738" t="s">
        <v>291</v>
      </c>
      <c r="B26" s="739"/>
      <c r="C26" s="348"/>
      <c r="D26" s="347"/>
      <c r="E26" s="347"/>
      <c r="F26" s="347"/>
      <c r="G26" s="347"/>
      <c r="H26" s="348">
        <f t="shared" ref="H26:I26" si="19">SUM(H19:H25)</f>
        <v>135000</v>
      </c>
      <c r="I26" s="348">
        <f t="shared" si="19"/>
        <v>462</v>
      </c>
      <c r="J26" s="348">
        <f>SUM(J19:J25)</f>
        <v>5.1136363636363633</v>
      </c>
      <c r="K26" s="347"/>
      <c r="L26" s="349"/>
    </row>
    <row r="27" spans="1:12" s="334" customFormat="1" ht="21.95" customHeight="1" thickBot="1">
      <c r="A27" s="740" t="s">
        <v>290</v>
      </c>
      <c r="B27" s="741"/>
      <c r="C27" s="351"/>
      <c r="D27" s="350"/>
      <c r="E27" s="350"/>
      <c r="F27" s="350"/>
      <c r="G27" s="350"/>
      <c r="H27" s="351">
        <f>SUM(H26,H17,H13,H8)</f>
        <v>251666.66666666669</v>
      </c>
      <c r="I27" s="351">
        <f t="shared" ref="I27" si="20">SUM(I26,I17,I13,I8)</f>
        <v>858</v>
      </c>
      <c r="J27" s="351">
        <f>SUM(J26,J17,J13,J8)</f>
        <v>9.532828282828282</v>
      </c>
      <c r="K27" s="350"/>
      <c r="L27" s="352"/>
    </row>
    <row r="28" spans="1:12" s="335" customFormat="1" ht="32.25" customHeight="1">
      <c r="A28" s="721" t="s">
        <v>321</v>
      </c>
      <c r="B28" s="721"/>
      <c r="C28" s="721"/>
      <c r="D28" s="68"/>
      <c r="E28" s="68"/>
      <c r="F28" s="176"/>
      <c r="G28" s="68" t="s">
        <v>44</v>
      </c>
      <c r="H28" s="68" t="s">
        <v>217</v>
      </c>
      <c r="I28" s="244"/>
      <c r="J28" s="248"/>
      <c r="K28" s="244"/>
      <c r="L28" s="68"/>
    </row>
    <row r="29" spans="1:12" s="334" customFormat="1" ht="31.5" customHeight="1">
      <c r="A29" s="267" t="s">
        <v>318</v>
      </c>
      <c r="B29" s="268"/>
      <c r="C29" s="269" t="s">
        <v>48</v>
      </c>
      <c r="D29" s="270"/>
      <c r="E29" s="269" t="s">
        <v>200</v>
      </c>
      <c r="F29" s="269"/>
      <c r="G29" s="384" t="s">
        <v>319</v>
      </c>
      <c r="H29" s="324" t="s">
        <v>49</v>
      </c>
      <c r="I29" s="270"/>
      <c r="J29" s="324"/>
      <c r="K29" s="324"/>
      <c r="L29" s="39"/>
    </row>
    <row r="30" spans="1:12" ht="18.75">
      <c r="A30" s="271"/>
      <c r="B30" s="272"/>
      <c r="C30" s="271" t="s">
        <v>286</v>
      </c>
      <c r="D30" s="271"/>
      <c r="E30" s="244" t="s">
        <v>52</v>
      </c>
      <c r="F30" s="244"/>
      <c r="G30" s="271"/>
      <c r="H30" s="325" t="s">
        <v>54</v>
      </c>
      <c r="I30" s="271"/>
      <c r="J30" s="325"/>
      <c r="K30" s="323" t="s">
        <v>81</v>
      </c>
      <c r="L30" s="323"/>
    </row>
  </sheetData>
  <mergeCells count="15">
    <mergeCell ref="A26:B26"/>
    <mergeCell ref="A27:B27"/>
    <mergeCell ref="A28:C28"/>
    <mergeCell ref="A8:B8"/>
    <mergeCell ref="A9:L9"/>
    <mergeCell ref="A13:B13"/>
    <mergeCell ref="A14:L14"/>
    <mergeCell ref="A17:B17"/>
    <mergeCell ref="A18:L18"/>
    <mergeCell ref="A6:L6"/>
    <mergeCell ref="A1:L1"/>
    <mergeCell ref="A2:L2"/>
    <mergeCell ref="A3:L3"/>
    <mergeCell ref="A4:L4"/>
    <mergeCell ref="A5:B5"/>
  </mergeCells>
  <printOptions horizontalCentered="1"/>
  <pageMargins left="0.25" right="0.25" top="0.75" bottom="0.75" header="0.3" footer="0.3"/>
  <pageSetup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rightToLeft="1" view="pageBreakPreview" topLeftCell="A9" zoomScale="90" zoomScaleSheetLayoutView="90" workbookViewId="0">
      <selection activeCell="A26" sqref="A26:B26"/>
    </sheetView>
  </sheetViews>
  <sheetFormatPr defaultColWidth="9.125" defaultRowHeight="15"/>
  <cols>
    <col min="1" max="1" width="9.125" style="330"/>
    <col min="2" max="2" width="36.75" style="330" customWidth="1"/>
    <col min="3" max="3" width="11.875" style="331" customWidth="1"/>
    <col min="4" max="5" width="11.875" style="330" customWidth="1"/>
    <col min="6" max="6" width="13.125" style="330" customWidth="1"/>
    <col min="7" max="7" width="11.875" style="330" customWidth="1"/>
    <col min="8" max="8" width="14.75" style="330" customWidth="1"/>
    <col min="9" max="9" width="12.75" style="330" customWidth="1"/>
    <col min="10" max="10" width="11.875" style="330" customWidth="1"/>
    <col min="11" max="11" width="12" style="330" customWidth="1"/>
    <col min="12" max="12" width="16" style="330" customWidth="1"/>
    <col min="13" max="16384" width="9.125" style="330"/>
  </cols>
  <sheetData>
    <row r="1" spans="1:12" s="332" customFormat="1" ht="22.5" customHeight="1">
      <c r="A1" s="731" t="s">
        <v>294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</row>
    <row r="2" spans="1:12" s="332" customFormat="1" ht="22.5" customHeight="1">
      <c r="A2" s="731" t="s">
        <v>284</v>
      </c>
      <c r="B2" s="731"/>
      <c r="C2" s="731"/>
      <c r="D2" s="731"/>
      <c r="E2" s="731"/>
      <c r="F2" s="731"/>
      <c r="G2" s="731"/>
      <c r="H2" s="731"/>
      <c r="I2" s="731"/>
      <c r="J2" s="731"/>
      <c r="K2" s="731"/>
      <c r="L2" s="731"/>
    </row>
    <row r="3" spans="1:12" s="332" customFormat="1" ht="22.5" customHeight="1" thickBot="1">
      <c r="A3" s="732" t="s">
        <v>295</v>
      </c>
      <c r="B3" s="732"/>
      <c r="C3" s="732"/>
      <c r="D3" s="732"/>
      <c r="E3" s="732"/>
      <c r="F3" s="732"/>
      <c r="G3" s="732"/>
      <c r="H3" s="732"/>
      <c r="I3" s="732"/>
      <c r="J3" s="732"/>
      <c r="K3" s="732"/>
      <c r="L3" s="732"/>
    </row>
    <row r="4" spans="1:12" ht="28.5" customHeight="1">
      <c r="A4" s="733" t="s">
        <v>296</v>
      </c>
      <c r="B4" s="734"/>
      <c r="C4" s="734"/>
      <c r="D4" s="734"/>
      <c r="E4" s="734"/>
      <c r="F4" s="734"/>
      <c r="G4" s="734"/>
      <c r="H4" s="734"/>
      <c r="I4" s="734"/>
      <c r="J4" s="734"/>
      <c r="K4" s="734"/>
      <c r="L4" s="735"/>
    </row>
    <row r="5" spans="1:12" s="334" customFormat="1" ht="40.5" customHeight="1">
      <c r="A5" s="736" t="s">
        <v>2</v>
      </c>
      <c r="B5" s="737"/>
      <c r="C5" s="356" t="s">
        <v>3</v>
      </c>
      <c r="D5" s="356" t="s">
        <v>4</v>
      </c>
      <c r="E5" s="356" t="s">
        <v>5</v>
      </c>
      <c r="F5" s="356" t="s">
        <v>6</v>
      </c>
      <c r="G5" s="356" t="s">
        <v>59</v>
      </c>
      <c r="H5" s="356" t="s">
        <v>8</v>
      </c>
      <c r="I5" s="357" t="s">
        <v>9</v>
      </c>
      <c r="J5" s="356" t="s">
        <v>79</v>
      </c>
      <c r="K5" s="356" t="s">
        <v>247</v>
      </c>
      <c r="L5" s="361" t="s">
        <v>12</v>
      </c>
    </row>
    <row r="6" spans="1:12" s="334" customFormat="1" ht="24.95" customHeight="1">
      <c r="A6" s="728" t="s">
        <v>209</v>
      </c>
      <c r="B6" s="729"/>
      <c r="C6" s="729"/>
      <c r="D6" s="729"/>
      <c r="E6" s="729"/>
      <c r="F6" s="729"/>
      <c r="G6" s="729"/>
      <c r="H6" s="729"/>
      <c r="I6" s="729"/>
      <c r="J6" s="729"/>
      <c r="K6" s="729"/>
      <c r="L6" s="730"/>
    </row>
    <row r="7" spans="1:12" s="333" customFormat="1" ht="20.100000000000001" customHeight="1">
      <c r="A7" s="337">
        <v>1</v>
      </c>
      <c r="B7" s="353" t="s">
        <v>289</v>
      </c>
      <c r="C7" s="344" t="s">
        <v>37</v>
      </c>
      <c r="D7" s="336">
        <v>10000</v>
      </c>
      <c r="E7" s="336">
        <v>60</v>
      </c>
      <c r="F7" s="117">
        <f>400/E7</f>
        <v>6.666666666666667</v>
      </c>
      <c r="G7" s="117">
        <f t="shared" ref="G7" si="0">D7/E7</f>
        <v>166.66666666666666</v>
      </c>
      <c r="H7" s="117">
        <f>(G7*F7*E7)</f>
        <v>66666.666666666672</v>
      </c>
      <c r="I7" s="117">
        <v>10</v>
      </c>
      <c r="J7" s="117">
        <f>G7/I7</f>
        <v>16.666666666666664</v>
      </c>
      <c r="K7" s="117">
        <f t="shared" ref="K7" si="1">J7*E7</f>
        <v>999.99999999999989</v>
      </c>
      <c r="L7" s="338"/>
    </row>
    <row r="8" spans="1:12" s="333" customFormat="1" ht="21.95" customHeight="1">
      <c r="A8" s="738" t="s">
        <v>291</v>
      </c>
      <c r="B8" s="739"/>
      <c r="C8" s="340"/>
      <c r="D8" s="339"/>
      <c r="E8" s="339"/>
      <c r="F8" s="339"/>
      <c r="G8" s="339"/>
      <c r="H8" s="339">
        <f>SUM(H7)</f>
        <v>66666.666666666672</v>
      </c>
      <c r="I8" s="339">
        <f>SUM(I7)</f>
        <v>10</v>
      </c>
      <c r="J8" s="340">
        <f>SUM(J7)</f>
        <v>16.666666666666664</v>
      </c>
      <c r="K8" s="339"/>
      <c r="L8" s="341"/>
    </row>
    <row r="9" spans="1:12" s="334" customFormat="1" ht="24.95" customHeight="1">
      <c r="A9" s="742" t="s">
        <v>298</v>
      </c>
      <c r="B9" s="743"/>
      <c r="C9" s="743"/>
      <c r="D9" s="743"/>
      <c r="E9" s="743"/>
      <c r="F9" s="743"/>
      <c r="G9" s="743"/>
      <c r="H9" s="743"/>
      <c r="I9" s="743"/>
      <c r="J9" s="743"/>
      <c r="K9" s="743"/>
      <c r="L9" s="744"/>
    </row>
    <row r="10" spans="1:12" s="333" customFormat="1" ht="20.100000000000001" customHeight="1">
      <c r="A10" s="337">
        <v>1</v>
      </c>
      <c r="B10" s="353" t="s">
        <v>301</v>
      </c>
      <c r="C10" s="358" t="s">
        <v>288</v>
      </c>
      <c r="D10" s="336">
        <v>10000</v>
      </c>
      <c r="E10" s="336">
        <v>80</v>
      </c>
      <c r="F10" s="117">
        <f t="shared" ref="F10:F12" si="2">400/E10</f>
        <v>5</v>
      </c>
      <c r="G10" s="117">
        <f t="shared" ref="G10:G12" si="3">D10/E10</f>
        <v>125</v>
      </c>
      <c r="H10" s="117">
        <f t="shared" ref="H10:H12" si="4">(G10*F10*E10)</f>
        <v>50000</v>
      </c>
      <c r="I10" s="117">
        <v>66</v>
      </c>
      <c r="J10" s="117">
        <f t="shared" ref="J10:J12" si="5">G10/I10</f>
        <v>1.893939393939394</v>
      </c>
      <c r="K10" s="117">
        <f t="shared" ref="K10:K12" si="6">J10*E10</f>
        <v>151.51515151515153</v>
      </c>
      <c r="L10" s="342"/>
    </row>
    <row r="11" spans="1:12" s="333" customFormat="1" ht="20.100000000000001" customHeight="1">
      <c r="A11" s="337">
        <v>2</v>
      </c>
      <c r="B11" s="354" t="s">
        <v>304</v>
      </c>
      <c r="C11" s="359" t="s">
        <v>288</v>
      </c>
      <c r="D11" s="336">
        <v>20000</v>
      </c>
      <c r="E11" s="336">
        <v>80</v>
      </c>
      <c r="F11" s="117">
        <f t="shared" si="2"/>
        <v>5</v>
      </c>
      <c r="G11" s="117">
        <f t="shared" si="3"/>
        <v>250</v>
      </c>
      <c r="H11" s="117">
        <f t="shared" si="4"/>
        <v>100000</v>
      </c>
      <c r="I11" s="117">
        <v>66</v>
      </c>
      <c r="J11" s="117">
        <f t="shared" si="5"/>
        <v>3.7878787878787881</v>
      </c>
      <c r="K11" s="117">
        <f t="shared" si="6"/>
        <v>303.03030303030306</v>
      </c>
      <c r="L11" s="342"/>
    </row>
    <row r="12" spans="1:12" s="333" customFormat="1" ht="20.100000000000001" customHeight="1">
      <c r="A12" s="337">
        <v>3</v>
      </c>
      <c r="B12" s="354" t="s">
        <v>302</v>
      </c>
      <c r="C12" s="359" t="s">
        <v>37</v>
      </c>
      <c r="D12" s="336">
        <v>20000</v>
      </c>
      <c r="E12" s="336">
        <v>250</v>
      </c>
      <c r="F12" s="117">
        <f t="shared" si="2"/>
        <v>1.6</v>
      </c>
      <c r="G12" s="117">
        <f t="shared" si="3"/>
        <v>80</v>
      </c>
      <c r="H12" s="117">
        <f t="shared" si="4"/>
        <v>32000</v>
      </c>
      <c r="I12" s="117">
        <v>66</v>
      </c>
      <c r="J12" s="117">
        <f t="shared" si="5"/>
        <v>1.2121212121212122</v>
      </c>
      <c r="K12" s="117">
        <f t="shared" si="6"/>
        <v>303.03030303030306</v>
      </c>
      <c r="L12" s="342"/>
    </row>
    <row r="13" spans="1:12" s="333" customFormat="1" ht="21.95" customHeight="1">
      <c r="A13" s="738" t="s">
        <v>291</v>
      </c>
      <c r="B13" s="739"/>
      <c r="C13" s="340"/>
      <c r="D13" s="339"/>
      <c r="E13" s="339"/>
      <c r="F13" s="339"/>
      <c r="G13" s="339"/>
      <c r="H13" s="339">
        <f t="shared" ref="H13:I13" si="7">SUM(H10:H12)</f>
        <v>182000</v>
      </c>
      <c r="I13" s="339">
        <f t="shared" si="7"/>
        <v>198</v>
      </c>
      <c r="J13" s="340">
        <f>SUM(J10:J12)</f>
        <v>6.8939393939393936</v>
      </c>
      <c r="K13" s="339"/>
      <c r="L13" s="341"/>
    </row>
    <row r="14" spans="1:12" s="334" customFormat="1" ht="24.95" customHeight="1">
      <c r="A14" s="742" t="s">
        <v>299</v>
      </c>
      <c r="B14" s="743"/>
      <c r="C14" s="743"/>
      <c r="D14" s="743"/>
      <c r="E14" s="743"/>
      <c r="F14" s="743"/>
      <c r="G14" s="743"/>
      <c r="H14" s="743"/>
      <c r="I14" s="743"/>
      <c r="J14" s="743"/>
      <c r="K14" s="743"/>
      <c r="L14" s="744"/>
    </row>
    <row r="15" spans="1:12" s="333" customFormat="1" ht="20.100000000000001" customHeight="1">
      <c r="A15" s="337">
        <v>1</v>
      </c>
      <c r="B15" s="354" t="s">
        <v>304</v>
      </c>
      <c r="C15" s="359" t="s">
        <v>288</v>
      </c>
      <c r="D15" s="336">
        <v>20000</v>
      </c>
      <c r="E15" s="336">
        <v>80</v>
      </c>
      <c r="F15" s="117">
        <f t="shared" ref="F15:F16" si="8">400/E15</f>
        <v>5</v>
      </c>
      <c r="G15" s="117">
        <f t="shared" ref="G15:G16" si="9">D15/E15</f>
        <v>250</v>
      </c>
      <c r="H15" s="117">
        <f t="shared" ref="H15:H16" si="10">(G15*F15*E15)</f>
        <v>100000</v>
      </c>
      <c r="I15" s="117">
        <v>66</v>
      </c>
      <c r="J15" s="117">
        <f t="shared" ref="J15:J16" si="11">G15/I15</f>
        <v>3.7878787878787881</v>
      </c>
      <c r="K15" s="117">
        <f t="shared" ref="K15:K16" si="12">J15*E15</f>
        <v>303.03030303030306</v>
      </c>
      <c r="L15" s="343"/>
    </row>
    <row r="16" spans="1:12" s="333" customFormat="1" ht="20.100000000000001" customHeight="1">
      <c r="A16" s="337">
        <v>2</v>
      </c>
      <c r="B16" s="336" t="s">
        <v>303</v>
      </c>
      <c r="C16" s="344" t="s">
        <v>227</v>
      </c>
      <c r="D16" s="336">
        <v>12</v>
      </c>
      <c r="E16" s="336">
        <v>1</v>
      </c>
      <c r="F16" s="117">
        <f t="shared" si="8"/>
        <v>400</v>
      </c>
      <c r="G16" s="117">
        <f t="shared" si="9"/>
        <v>12</v>
      </c>
      <c r="H16" s="117">
        <f t="shared" si="10"/>
        <v>4800</v>
      </c>
      <c r="I16" s="117">
        <v>66</v>
      </c>
      <c r="J16" s="117">
        <f t="shared" si="11"/>
        <v>0.18181818181818182</v>
      </c>
      <c r="K16" s="117">
        <f t="shared" si="12"/>
        <v>0.18181818181818182</v>
      </c>
      <c r="L16" s="345"/>
    </row>
    <row r="17" spans="1:12" s="333" customFormat="1" ht="21.95" customHeight="1">
      <c r="A17" s="738" t="s">
        <v>291</v>
      </c>
      <c r="B17" s="739"/>
      <c r="C17" s="340"/>
      <c r="D17" s="339"/>
      <c r="E17" s="339"/>
      <c r="F17" s="339"/>
      <c r="G17" s="339"/>
      <c r="H17" s="339">
        <f t="shared" ref="H17:I17" si="13">SUM(H15:H16)</f>
        <v>104800</v>
      </c>
      <c r="I17" s="339">
        <f t="shared" si="13"/>
        <v>132</v>
      </c>
      <c r="J17" s="340">
        <f>SUM(J15:J16)</f>
        <v>3.9696969696969697</v>
      </c>
      <c r="K17" s="339"/>
      <c r="L17" s="341"/>
    </row>
    <row r="18" spans="1:12" s="334" customFormat="1" ht="24.95" customHeight="1">
      <c r="A18" s="742" t="s">
        <v>300</v>
      </c>
      <c r="B18" s="743"/>
      <c r="C18" s="743"/>
      <c r="D18" s="743"/>
      <c r="E18" s="743"/>
      <c r="F18" s="743"/>
      <c r="G18" s="743"/>
      <c r="H18" s="743"/>
      <c r="I18" s="743"/>
      <c r="J18" s="743"/>
      <c r="K18" s="743"/>
      <c r="L18" s="744"/>
    </row>
    <row r="19" spans="1:12" s="333" customFormat="1" ht="20.100000000000001" customHeight="1">
      <c r="A19" s="337">
        <v>1</v>
      </c>
      <c r="B19" s="353" t="s">
        <v>301</v>
      </c>
      <c r="C19" s="358" t="s">
        <v>288</v>
      </c>
      <c r="D19" s="346">
        <v>15000</v>
      </c>
      <c r="E19" s="344">
        <v>80</v>
      </c>
      <c r="F19" s="117">
        <f t="shared" ref="F19:F25" si="14">400/E19</f>
        <v>5</v>
      </c>
      <c r="G19" s="117">
        <f t="shared" ref="G19:G25" si="15">D19/E19</f>
        <v>187.5</v>
      </c>
      <c r="H19" s="117">
        <f t="shared" ref="H19:H25" si="16">(G19*F19*E19)</f>
        <v>75000</v>
      </c>
      <c r="I19" s="117">
        <v>66</v>
      </c>
      <c r="J19" s="117">
        <f t="shared" ref="J19:J25" si="17">G19/I19</f>
        <v>2.8409090909090908</v>
      </c>
      <c r="K19" s="117">
        <f t="shared" ref="K19:K25" si="18">J19*E19</f>
        <v>227.27272727272725</v>
      </c>
      <c r="L19" s="342"/>
    </row>
    <row r="20" spans="1:12" s="333" customFormat="1" ht="20.100000000000001" customHeight="1">
      <c r="A20" s="337">
        <v>2</v>
      </c>
      <c r="B20" s="354" t="s">
        <v>304</v>
      </c>
      <c r="C20" s="359" t="s">
        <v>288</v>
      </c>
      <c r="D20" s="336">
        <v>20000</v>
      </c>
      <c r="E20" s="344">
        <v>80</v>
      </c>
      <c r="F20" s="117">
        <f t="shared" si="14"/>
        <v>5</v>
      </c>
      <c r="G20" s="117">
        <f t="shared" si="15"/>
        <v>250</v>
      </c>
      <c r="H20" s="117">
        <f t="shared" si="16"/>
        <v>100000</v>
      </c>
      <c r="I20" s="117">
        <v>66</v>
      </c>
      <c r="J20" s="117">
        <f t="shared" si="17"/>
        <v>3.7878787878787881</v>
      </c>
      <c r="K20" s="117">
        <f t="shared" si="18"/>
        <v>303.03030303030306</v>
      </c>
      <c r="L20" s="345"/>
    </row>
    <row r="21" spans="1:12" s="333" customFormat="1" ht="20.100000000000001" customHeight="1">
      <c r="A21" s="337">
        <v>3</v>
      </c>
      <c r="B21" s="354" t="s">
        <v>302</v>
      </c>
      <c r="C21" s="359" t="s">
        <v>37</v>
      </c>
      <c r="D21" s="336">
        <v>25000</v>
      </c>
      <c r="E21" s="344">
        <v>250</v>
      </c>
      <c r="F21" s="117">
        <f t="shared" si="14"/>
        <v>1.6</v>
      </c>
      <c r="G21" s="117">
        <f t="shared" si="15"/>
        <v>100</v>
      </c>
      <c r="H21" s="117">
        <f t="shared" si="16"/>
        <v>40000</v>
      </c>
      <c r="I21" s="117">
        <v>66</v>
      </c>
      <c r="J21" s="117">
        <f t="shared" si="17"/>
        <v>1.5151515151515151</v>
      </c>
      <c r="K21" s="117">
        <f t="shared" si="18"/>
        <v>378.78787878787881</v>
      </c>
      <c r="L21" s="345"/>
    </row>
    <row r="22" spans="1:12" s="333" customFormat="1" ht="20.100000000000001" customHeight="1">
      <c r="A22" s="337">
        <v>4</v>
      </c>
      <c r="B22" s="354" t="s">
        <v>303</v>
      </c>
      <c r="C22" s="359" t="s">
        <v>227</v>
      </c>
      <c r="D22" s="336">
        <v>10</v>
      </c>
      <c r="E22" s="344">
        <v>1</v>
      </c>
      <c r="F22" s="117">
        <f t="shared" si="14"/>
        <v>400</v>
      </c>
      <c r="G22" s="117">
        <f t="shared" si="15"/>
        <v>10</v>
      </c>
      <c r="H22" s="117">
        <f t="shared" si="16"/>
        <v>4000</v>
      </c>
      <c r="I22" s="117">
        <v>66</v>
      </c>
      <c r="J22" s="117">
        <f t="shared" si="17"/>
        <v>0.15151515151515152</v>
      </c>
      <c r="K22" s="117">
        <f t="shared" si="18"/>
        <v>0.15151515151515152</v>
      </c>
      <c r="L22" s="345"/>
    </row>
    <row r="23" spans="1:12" s="333" customFormat="1" ht="20.100000000000001" customHeight="1">
      <c r="A23" s="337">
        <v>5</v>
      </c>
      <c r="B23" s="354" t="s">
        <v>289</v>
      </c>
      <c r="C23" s="359" t="s">
        <v>37</v>
      </c>
      <c r="D23" s="336">
        <v>40000</v>
      </c>
      <c r="E23" s="344">
        <v>60</v>
      </c>
      <c r="F23" s="117">
        <f t="shared" si="14"/>
        <v>6.666666666666667</v>
      </c>
      <c r="G23" s="117">
        <f t="shared" si="15"/>
        <v>666.66666666666663</v>
      </c>
      <c r="H23" s="117">
        <f t="shared" si="16"/>
        <v>266666.66666666669</v>
      </c>
      <c r="I23" s="117">
        <v>66</v>
      </c>
      <c r="J23" s="117">
        <f t="shared" si="17"/>
        <v>10.1010101010101</v>
      </c>
      <c r="K23" s="117">
        <f t="shared" si="18"/>
        <v>606.06060606060601</v>
      </c>
      <c r="L23" s="345"/>
    </row>
    <row r="24" spans="1:12" s="333" customFormat="1" ht="20.100000000000001" customHeight="1">
      <c r="A24" s="337">
        <v>6</v>
      </c>
      <c r="B24" s="355" t="s">
        <v>305</v>
      </c>
      <c r="C24" s="360" t="s">
        <v>24</v>
      </c>
      <c r="D24" s="346">
        <v>7000</v>
      </c>
      <c r="E24" s="344">
        <v>300</v>
      </c>
      <c r="F24" s="117">
        <f t="shared" si="14"/>
        <v>1.3333333333333333</v>
      </c>
      <c r="G24" s="117">
        <f t="shared" si="15"/>
        <v>23.333333333333332</v>
      </c>
      <c r="H24" s="117">
        <f t="shared" si="16"/>
        <v>9333.3333333333321</v>
      </c>
      <c r="I24" s="117">
        <v>66</v>
      </c>
      <c r="J24" s="117">
        <f t="shared" si="17"/>
        <v>0.35353535353535354</v>
      </c>
      <c r="K24" s="117">
        <f t="shared" si="18"/>
        <v>106.06060606060606</v>
      </c>
      <c r="L24" s="345"/>
    </row>
    <row r="25" spans="1:12" s="333" customFormat="1" ht="20.100000000000001" customHeight="1">
      <c r="A25" s="337">
        <v>7</v>
      </c>
      <c r="B25" s="354" t="s">
        <v>292</v>
      </c>
      <c r="C25" s="359" t="s">
        <v>293</v>
      </c>
      <c r="D25" s="346">
        <v>50000</v>
      </c>
      <c r="E25" s="344">
        <v>250</v>
      </c>
      <c r="F25" s="117">
        <f t="shared" si="14"/>
        <v>1.6</v>
      </c>
      <c r="G25" s="117">
        <f t="shared" si="15"/>
        <v>200</v>
      </c>
      <c r="H25" s="117">
        <f t="shared" si="16"/>
        <v>80000</v>
      </c>
      <c r="I25" s="117">
        <v>66</v>
      </c>
      <c r="J25" s="117">
        <f t="shared" si="17"/>
        <v>3.0303030303030303</v>
      </c>
      <c r="K25" s="117">
        <f t="shared" si="18"/>
        <v>757.57575757575762</v>
      </c>
      <c r="L25" s="345"/>
    </row>
    <row r="26" spans="1:12" s="334" customFormat="1" ht="21.95" customHeight="1">
      <c r="A26" s="738" t="s">
        <v>291</v>
      </c>
      <c r="B26" s="739"/>
      <c r="C26" s="348"/>
      <c r="D26" s="347"/>
      <c r="E26" s="347"/>
      <c r="F26" s="347"/>
      <c r="G26" s="347"/>
      <c r="H26" s="348">
        <f t="shared" ref="H26:I26" si="19">SUM(H19:H25)</f>
        <v>575000</v>
      </c>
      <c r="I26" s="348">
        <f t="shared" si="19"/>
        <v>462</v>
      </c>
      <c r="J26" s="348">
        <f>SUM(J19:J25)</f>
        <v>21.780303030303031</v>
      </c>
      <c r="K26" s="347"/>
      <c r="L26" s="349"/>
    </row>
    <row r="27" spans="1:12" s="334" customFormat="1" ht="21.95" customHeight="1" thickBot="1">
      <c r="A27" s="740" t="s">
        <v>290</v>
      </c>
      <c r="B27" s="741"/>
      <c r="C27" s="351"/>
      <c r="D27" s="350"/>
      <c r="E27" s="350"/>
      <c r="F27" s="350"/>
      <c r="G27" s="350"/>
      <c r="H27" s="351">
        <f>SUM(H26,H17,H13,H8)</f>
        <v>928466.66666666663</v>
      </c>
      <c r="I27" s="351">
        <f t="shared" ref="I27" si="20">SUM(I26,I17,I13,I8)</f>
        <v>802</v>
      </c>
      <c r="J27" s="351">
        <f>SUM(J26,J17,J13,J8)</f>
        <v>49.310606060606055</v>
      </c>
      <c r="K27" s="350"/>
      <c r="L27" s="352"/>
    </row>
    <row r="28" spans="1:12" s="335" customFormat="1" ht="32.25" customHeight="1">
      <c r="A28" s="721" t="s">
        <v>321</v>
      </c>
      <c r="B28" s="721"/>
      <c r="C28" s="721"/>
      <c r="D28" s="68"/>
      <c r="E28" s="68"/>
      <c r="F28" s="176"/>
      <c r="G28" s="68" t="s">
        <v>44</v>
      </c>
      <c r="H28" s="68" t="s">
        <v>217</v>
      </c>
      <c r="I28" s="244"/>
      <c r="J28" s="248"/>
      <c r="K28" s="244"/>
      <c r="L28" s="68"/>
    </row>
    <row r="29" spans="1:12" s="334" customFormat="1" ht="43.5" customHeight="1">
      <c r="A29" s="267" t="s">
        <v>318</v>
      </c>
      <c r="B29" s="268"/>
      <c r="C29" s="269" t="s">
        <v>48</v>
      </c>
      <c r="D29" s="270"/>
      <c r="E29" s="269" t="s">
        <v>200</v>
      </c>
      <c r="F29" s="269"/>
      <c r="G29" s="384" t="s">
        <v>319</v>
      </c>
      <c r="H29" s="324" t="s">
        <v>49</v>
      </c>
      <c r="I29" s="270"/>
      <c r="J29" s="324"/>
      <c r="K29" s="324"/>
      <c r="L29" s="39"/>
    </row>
    <row r="30" spans="1:12" ht="18.75">
      <c r="A30" s="271"/>
      <c r="B30" s="272"/>
      <c r="C30" s="271" t="s">
        <v>286</v>
      </c>
      <c r="D30" s="271"/>
      <c r="E30" s="244" t="s">
        <v>52</v>
      </c>
      <c r="F30" s="244"/>
      <c r="G30" s="271"/>
      <c r="H30" s="325" t="s">
        <v>54</v>
      </c>
      <c r="I30" s="271"/>
      <c r="J30" s="325"/>
      <c r="K30" s="323" t="s">
        <v>81</v>
      </c>
      <c r="L30" s="323"/>
    </row>
  </sheetData>
  <mergeCells count="15">
    <mergeCell ref="A28:C28"/>
    <mergeCell ref="A5:B5"/>
    <mergeCell ref="A4:L4"/>
    <mergeCell ref="A3:L3"/>
    <mergeCell ref="A2:L2"/>
    <mergeCell ref="A26:B26"/>
    <mergeCell ref="A27:B27"/>
    <mergeCell ref="A1:L1"/>
    <mergeCell ref="A6:L6"/>
    <mergeCell ref="A9:L9"/>
    <mergeCell ref="A14:L14"/>
    <mergeCell ref="A18:L18"/>
    <mergeCell ref="A17:B17"/>
    <mergeCell ref="A8:B8"/>
    <mergeCell ref="A13:B13"/>
  </mergeCells>
  <printOptions horizontalCentered="1"/>
  <pageMargins left="0.25" right="0.25" top="0.75" bottom="0.75" header="0.3" footer="0.3"/>
  <pageSetup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32"/>
  <sheetViews>
    <sheetView rightToLeft="1" view="pageBreakPreview" topLeftCell="A10" zoomScale="70" zoomScaleSheetLayoutView="70" workbookViewId="0">
      <selection activeCell="B21" sqref="B21"/>
    </sheetView>
  </sheetViews>
  <sheetFormatPr defaultColWidth="9.125" defaultRowHeight="15"/>
  <cols>
    <col min="1" max="1" width="7" style="120" customWidth="1"/>
    <col min="2" max="2" width="48.25" style="120" customWidth="1"/>
    <col min="3" max="3" width="10" style="120" customWidth="1"/>
    <col min="4" max="4" width="17" style="120" bestFit="1" customWidth="1"/>
    <col min="5" max="5" width="13.25" style="120" customWidth="1"/>
    <col min="6" max="6" width="14.625" style="120" customWidth="1"/>
    <col min="7" max="7" width="14.75" style="120" customWidth="1"/>
    <col min="8" max="8" width="18.625" style="120" customWidth="1"/>
    <col min="9" max="9" width="13.125" style="218" customWidth="1"/>
    <col min="10" max="10" width="13.125" style="212" customWidth="1"/>
    <col min="11" max="11" width="19" style="212" customWidth="1"/>
    <col min="12" max="12" width="48.375" style="120" customWidth="1"/>
    <col min="13" max="13" width="10.75" style="120" bestFit="1" customWidth="1"/>
    <col min="14" max="14" width="17.625" style="120" customWidth="1"/>
    <col min="15" max="15" width="17" style="120" customWidth="1"/>
    <col min="16" max="16" width="24.125" style="120" customWidth="1"/>
    <col min="17" max="17" width="9.125" style="120"/>
    <col min="18" max="18" width="11.75" style="120" customWidth="1"/>
    <col min="19" max="19" width="9.125" style="120"/>
    <col min="20" max="20" width="13.375" style="120" customWidth="1"/>
    <col min="21" max="16384" width="9.125" style="120"/>
  </cols>
  <sheetData>
    <row r="1" spans="1:18" ht="60.75" customHeight="1">
      <c r="A1" s="750" t="s">
        <v>275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</row>
    <row r="2" spans="1:18" ht="27.75" customHeight="1">
      <c r="A2" s="751" t="s">
        <v>215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N2" s="34"/>
    </row>
    <row r="3" spans="1:18" s="141" customFormat="1" ht="32.25" customHeight="1">
      <c r="A3" s="745" t="s">
        <v>148</v>
      </c>
      <c r="B3" s="745"/>
      <c r="C3" s="745"/>
      <c r="D3" s="745"/>
      <c r="E3" s="745"/>
      <c r="F3" s="745"/>
      <c r="G3" s="745"/>
      <c r="H3" s="745"/>
      <c r="I3" s="745"/>
      <c r="J3" s="745"/>
      <c r="K3" s="745"/>
      <c r="L3" s="745"/>
    </row>
    <row r="4" spans="1:18" s="208" customFormat="1" ht="35.25" customHeight="1">
      <c r="A4" s="752" t="s">
        <v>2</v>
      </c>
      <c r="B4" s="752"/>
      <c r="C4" s="206" t="s">
        <v>3</v>
      </c>
      <c r="D4" s="206" t="s">
        <v>4</v>
      </c>
      <c r="E4" s="206" t="s">
        <v>5</v>
      </c>
      <c r="F4" s="206" t="s">
        <v>6</v>
      </c>
      <c r="G4" s="206" t="s">
        <v>59</v>
      </c>
      <c r="H4" s="206" t="s">
        <v>60</v>
      </c>
      <c r="I4" s="213" t="s">
        <v>9</v>
      </c>
      <c r="J4" s="206" t="s">
        <v>79</v>
      </c>
      <c r="K4" s="206" t="s">
        <v>247</v>
      </c>
      <c r="L4" s="207" t="s">
        <v>12</v>
      </c>
    </row>
    <row r="5" spans="1:18" s="209" customFormat="1" ht="26.25" customHeight="1">
      <c r="A5" s="226">
        <v>1</v>
      </c>
      <c r="B5" s="224" t="s">
        <v>267</v>
      </c>
      <c r="C5" s="226" t="s">
        <v>26</v>
      </c>
      <c r="D5" s="114">
        <v>5000</v>
      </c>
      <c r="E5" s="72">
        <v>2000</v>
      </c>
      <c r="F5" s="236">
        <f>400/E5</f>
        <v>0.2</v>
      </c>
      <c r="G5" s="114"/>
      <c r="H5" s="114">
        <f>G5*F5*E5</f>
        <v>0</v>
      </c>
      <c r="I5" s="226">
        <v>22</v>
      </c>
      <c r="J5" s="117">
        <f t="shared" ref="J5:J6" si="0">G5/I5</f>
        <v>0</v>
      </c>
      <c r="K5" s="114">
        <f t="shared" ref="K5:K6" si="1">J5*E5</f>
        <v>0</v>
      </c>
      <c r="L5" s="228"/>
    </row>
    <row r="6" spans="1:18" s="209" customFormat="1" ht="26.25" customHeight="1">
      <c r="A6" s="109">
        <v>2</v>
      </c>
      <c r="B6" s="224" t="s">
        <v>258</v>
      </c>
      <c r="C6" s="72" t="s">
        <v>28</v>
      </c>
      <c r="D6" s="53">
        <f>16500/100*80+5000</f>
        <v>18200</v>
      </c>
      <c r="E6" s="72">
        <v>250</v>
      </c>
      <c r="F6" s="205">
        <v>0.2</v>
      </c>
      <c r="G6" s="114"/>
      <c r="H6" s="114">
        <f>G6*F6*E6</f>
        <v>0</v>
      </c>
      <c r="I6" s="226">
        <v>22</v>
      </c>
      <c r="J6" s="117">
        <f t="shared" si="0"/>
        <v>0</v>
      </c>
      <c r="K6" s="114">
        <f t="shared" si="1"/>
        <v>0</v>
      </c>
      <c r="L6" s="237"/>
    </row>
    <row r="7" spans="1:18" s="44" customFormat="1" ht="32.25" customHeight="1">
      <c r="A7" s="747" t="s">
        <v>248</v>
      </c>
      <c r="B7" s="747"/>
      <c r="C7" s="11"/>
      <c r="D7" s="12"/>
      <c r="E7" s="12"/>
      <c r="F7" s="12"/>
      <c r="G7" s="192">
        <f>SUM(G5:G6)</f>
        <v>0</v>
      </c>
      <c r="H7" s="192">
        <f>SUM(H5:H6)</f>
        <v>0</v>
      </c>
      <c r="I7" s="214"/>
      <c r="J7" s="203">
        <f>SUM(J5:J6)</f>
        <v>0</v>
      </c>
      <c r="K7" s="753"/>
      <c r="L7" s="754"/>
    </row>
    <row r="8" spans="1:18" s="44" customFormat="1" ht="36.75" customHeight="1">
      <c r="A8" s="745" t="s">
        <v>149</v>
      </c>
      <c r="B8" s="745"/>
      <c r="C8" s="745"/>
      <c r="D8" s="745"/>
      <c r="E8" s="745"/>
      <c r="F8" s="745"/>
      <c r="G8" s="745"/>
      <c r="H8" s="745"/>
      <c r="I8" s="745"/>
      <c r="J8" s="745"/>
      <c r="K8" s="745"/>
      <c r="L8" s="745"/>
    </row>
    <row r="9" spans="1:18" s="209" customFormat="1" ht="36.75" customHeight="1">
      <c r="A9" s="746" t="s">
        <v>2</v>
      </c>
      <c r="B9" s="746"/>
      <c r="C9" s="138" t="s">
        <v>3</v>
      </c>
      <c r="D9" s="138" t="s">
        <v>4</v>
      </c>
      <c r="E9" s="138" t="s">
        <v>5</v>
      </c>
      <c r="F9" s="138" t="s">
        <v>6</v>
      </c>
      <c r="G9" s="138" t="s">
        <v>59</v>
      </c>
      <c r="H9" s="138" t="s">
        <v>60</v>
      </c>
      <c r="I9" s="215" t="s">
        <v>9</v>
      </c>
      <c r="J9" s="138" t="s">
        <v>79</v>
      </c>
      <c r="K9" s="138" t="s">
        <v>247</v>
      </c>
      <c r="L9" s="136" t="s">
        <v>12</v>
      </c>
    </row>
    <row r="10" spans="1:18" s="210" customFormat="1" ht="24.75" customHeight="1">
      <c r="A10" s="109">
        <v>1</v>
      </c>
      <c r="B10" s="224" t="s">
        <v>267</v>
      </c>
      <c r="C10" s="72" t="s">
        <v>26</v>
      </c>
      <c r="D10" s="53">
        <f>D5*9</f>
        <v>45000</v>
      </c>
      <c r="E10" s="72">
        <v>2000</v>
      </c>
      <c r="F10" s="234">
        <f>400/E10</f>
        <v>0.2</v>
      </c>
      <c r="G10" s="114">
        <f>D10/E10</f>
        <v>22.5</v>
      </c>
      <c r="H10" s="114">
        <f>G10*F10*E10</f>
        <v>9000</v>
      </c>
      <c r="I10" s="226">
        <v>66</v>
      </c>
      <c r="J10" s="117">
        <f t="shared" ref="J10:J13" si="2">G10/I10</f>
        <v>0.34090909090909088</v>
      </c>
      <c r="K10" s="114">
        <f>J10*E10</f>
        <v>681.81818181818176</v>
      </c>
      <c r="L10" s="228" t="s">
        <v>250</v>
      </c>
      <c r="M10" s="229"/>
      <c r="R10" s="230"/>
    </row>
    <row r="11" spans="1:18" s="210" customFormat="1" ht="31.5" customHeight="1">
      <c r="A11" s="7">
        <v>2</v>
      </c>
      <c r="B11" s="224" t="s">
        <v>259</v>
      </c>
      <c r="C11" s="225" t="s">
        <v>28</v>
      </c>
      <c r="D11" s="114">
        <f>D6*6</f>
        <v>109200</v>
      </c>
      <c r="E11" s="226">
        <v>250</v>
      </c>
      <c r="F11" s="235">
        <f>400/E11</f>
        <v>1.6</v>
      </c>
      <c r="G11" s="114">
        <f t="shared" ref="G11:G13" si="3">D11/E11</f>
        <v>436.8</v>
      </c>
      <c r="H11" s="114">
        <f>(G11*F11*E11)</f>
        <v>174720.00000000003</v>
      </c>
      <c r="I11" s="226">
        <v>66</v>
      </c>
      <c r="J11" s="117">
        <f t="shared" si="2"/>
        <v>6.6181818181818182</v>
      </c>
      <c r="K11" s="114">
        <f t="shared" ref="K11:K13" si="4">J11*E11</f>
        <v>1654.5454545454545</v>
      </c>
      <c r="L11" s="228" t="s">
        <v>250</v>
      </c>
      <c r="M11" s="229"/>
      <c r="R11" s="230"/>
    </row>
    <row r="12" spans="1:18" s="210" customFormat="1" ht="25.5" customHeight="1">
      <c r="A12" s="7">
        <v>3</v>
      </c>
      <c r="B12" s="224" t="s">
        <v>257</v>
      </c>
      <c r="C12" s="225" t="s">
        <v>28</v>
      </c>
      <c r="D12" s="114">
        <f>D6/100*20</f>
        <v>3640</v>
      </c>
      <c r="E12" s="226">
        <v>100</v>
      </c>
      <c r="F12" s="235">
        <f>400/E12</f>
        <v>4</v>
      </c>
      <c r="G12" s="114">
        <f t="shared" si="3"/>
        <v>36.4</v>
      </c>
      <c r="H12" s="114">
        <f>(G12*F12*E12)</f>
        <v>14560</v>
      </c>
      <c r="I12" s="226">
        <v>66</v>
      </c>
      <c r="J12" s="117">
        <f t="shared" si="2"/>
        <v>0.55151515151515151</v>
      </c>
      <c r="K12" s="114">
        <f t="shared" si="4"/>
        <v>55.151515151515149</v>
      </c>
      <c r="L12" s="228" t="s">
        <v>250</v>
      </c>
      <c r="M12" s="229"/>
      <c r="R12" s="230"/>
    </row>
    <row r="13" spans="1:18" s="210" customFormat="1" ht="25.5" customHeight="1">
      <c r="A13" s="7">
        <v>4</v>
      </c>
      <c r="B13" s="224" t="s">
        <v>260</v>
      </c>
      <c r="C13" s="72" t="s">
        <v>28</v>
      </c>
      <c r="D13" s="114">
        <f>D6</f>
        <v>18200</v>
      </c>
      <c r="E13" s="226">
        <v>400</v>
      </c>
      <c r="F13" s="235">
        <f>400/E13</f>
        <v>1</v>
      </c>
      <c r="G13" s="114">
        <f t="shared" si="3"/>
        <v>45.5</v>
      </c>
      <c r="H13" s="114">
        <f>(G13*F13*E13)</f>
        <v>18200</v>
      </c>
      <c r="I13" s="226">
        <v>66</v>
      </c>
      <c r="J13" s="117">
        <f t="shared" si="2"/>
        <v>0.68939393939393945</v>
      </c>
      <c r="K13" s="114">
        <f t="shared" si="4"/>
        <v>275.75757575757575</v>
      </c>
      <c r="L13" s="228" t="s">
        <v>250</v>
      </c>
      <c r="M13" s="229"/>
      <c r="R13" s="230"/>
    </row>
    <row r="14" spans="1:18" ht="30" customHeight="1">
      <c r="A14" s="747" t="s">
        <v>251</v>
      </c>
      <c r="B14" s="747"/>
      <c r="C14" s="11"/>
      <c r="D14" s="12"/>
      <c r="E14" s="12"/>
      <c r="F14" s="12"/>
      <c r="G14" s="192">
        <f>SUM(G10:G13)</f>
        <v>541.20000000000005</v>
      </c>
      <c r="H14" s="192">
        <f>SUM(H10:H13)</f>
        <v>216480.00000000003</v>
      </c>
      <c r="I14" s="214"/>
      <c r="J14" s="193">
        <f>SUM(J10:J13)</f>
        <v>8.1999999999999993</v>
      </c>
      <c r="K14" s="748"/>
      <c r="L14" s="749"/>
      <c r="M14" s="112"/>
      <c r="R14" s="34"/>
    </row>
    <row r="15" spans="1:18" ht="35.25" customHeight="1">
      <c r="A15" s="745" t="s">
        <v>61</v>
      </c>
      <c r="B15" s="745"/>
      <c r="C15" s="745"/>
      <c r="D15" s="745"/>
      <c r="E15" s="745"/>
      <c r="F15" s="745"/>
      <c r="G15" s="745"/>
      <c r="H15" s="745"/>
      <c r="I15" s="745"/>
      <c r="J15" s="745"/>
      <c r="K15" s="745"/>
      <c r="L15" s="745"/>
    </row>
    <row r="16" spans="1:18" s="210" customFormat="1" ht="39" customHeight="1">
      <c r="A16" s="29" t="s">
        <v>1</v>
      </c>
      <c r="B16" s="204" t="s">
        <v>78</v>
      </c>
      <c r="C16" s="138" t="s">
        <v>3</v>
      </c>
      <c r="D16" s="138" t="s">
        <v>4</v>
      </c>
      <c r="E16" s="138" t="s">
        <v>5</v>
      </c>
      <c r="F16" s="138" t="s">
        <v>6</v>
      </c>
      <c r="G16" s="138" t="s">
        <v>59</v>
      </c>
      <c r="H16" s="138" t="s">
        <v>60</v>
      </c>
      <c r="I16" s="215" t="s">
        <v>33</v>
      </c>
      <c r="J16" s="138" t="s">
        <v>34</v>
      </c>
      <c r="K16" s="194" t="s">
        <v>247</v>
      </c>
      <c r="L16" s="194" t="s">
        <v>12</v>
      </c>
    </row>
    <row r="17" spans="1:18" s="210" customFormat="1" ht="23.25" customHeight="1">
      <c r="A17" s="7">
        <v>1</v>
      </c>
      <c r="B17" s="224" t="s">
        <v>256</v>
      </c>
      <c r="C17" s="225" t="s">
        <v>26</v>
      </c>
      <c r="D17" s="114">
        <f>D5*12</f>
        <v>60000</v>
      </c>
      <c r="E17" s="226">
        <v>2000</v>
      </c>
      <c r="F17" s="227">
        <f>400/E17</f>
        <v>0.2</v>
      </c>
      <c r="G17" s="114">
        <f>D17/E17</f>
        <v>30</v>
      </c>
      <c r="H17" s="114">
        <f>G17*F17*E17</f>
        <v>12000</v>
      </c>
      <c r="I17" s="226">
        <v>66</v>
      </c>
      <c r="J17" s="117">
        <f>G17/I17</f>
        <v>0.45454545454545453</v>
      </c>
      <c r="K17" s="117">
        <f t="shared" ref="K17" si="5">J17*E17</f>
        <v>909.09090909090901</v>
      </c>
      <c r="L17" s="228" t="s">
        <v>253</v>
      </c>
      <c r="M17" s="229"/>
      <c r="R17" s="230"/>
    </row>
    <row r="18" spans="1:18" s="210" customFormat="1" ht="23.25" customHeight="1">
      <c r="A18" s="59">
        <v>2</v>
      </c>
      <c r="B18" s="224" t="s">
        <v>258</v>
      </c>
      <c r="C18" s="22" t="s">
        <v>249</v>
      </c>
      <c r="D18" s="53">
        <f>D6*9</f>
        <v>163800</v>
      </c>
      <c r="E18" s="72">
        <v>250</v>
      </c>
      <c r="F18" s="195">
        <f>400/E18</f>
        <v>1.6</v>
      </c>
      <c r="G18" s="53">
        <f>D18/E18</f>
        <v>655.20000000000005</v>
      </c>
      <c r="H18" s="53">
        <f>G18*F18*E18</f>
        <v>262080.00000000003</v>
      </c>
      <c r="I18" s="216">
        <v>66</v>
      </c>
      <c r="J18" s="42">
        <f>G18/I18</f>
        <v>9.9272727272727277</v>
      </c>
      <c r="K18" s="117">
        <f>J18*E18</f>
        <v>2481.818181818182</v>
      </c>
      <c r="L18" s="228" t="s">
        <v>253</v>
      </c>
      <c r="M18" s="229"/>
      <c r="R18" s="230"/>
    </row>
    <row r="19" spans="1:18" ht="33" customHeight="1">
      <c r="A19" s="758" t="s">
        <v>83</v>
      </c>
      <c r="B19" s="758"/>
      <c r="C19" s="11"/>
      <c r="D19" s="12"/>
      <c r="E19" s="12"/>
      <c r="F19" s="12"/>
      <c r="G19" s="192">
        <f>SUM(G17:G18)</f>
        <v>685.2</v>
      </c>
      <c r="H19" s="192">
        <f>SUM(H17:H18)</f>
        <v>274080</v>
      </c>
      <c r="I19" s="214"/>
      <c r="J19" s="196">
        <f>SUM(J17:J18)</f>
        <v>10.381818181818183</v>
      </c>
      <c r="K19" s="759"/>
      <c r="L19" s="760"/>
      <c r="M19" s="112"/>
      <c r="R19" s="34"/>
    </row>
    <row r="20" spans="1:18" ht="36" customHeight="1">
      <c r="A20" s="745" t="s">
        <v>263</v>
      </c>
      <c r="B20" s="745"/>
      <c r="C20" s="745"/>
      <c r="D20" s="745"/>
      <c r="E20" s="745"/>
      <c r="F20" s="745"/>
      <c r="G20" s="745"/>
      <c r="H20" s="745"/>
      <c r="I20" s="745"/>
      <c r="J20" s="745"/>
      <c r="K20" s="745"/>
      <c r="L20" s="745"/>
      <c r="M20" s="112"/>
      <c r="R20" s="34"/>
    </row>
    <row r="21" spans="1:18" s="210" customFormat="1" ht="38.25" customHeight="1">
      <c r="A21" s="136" t="s">
        <v>1</v>
      </c>
      <c r="B21" s="211" t="s">
        <v>30</v>
      </c>
      <c r="C21" s="197" t="s">
        <v>3</v>
      </c>
      <c r="D21" s="138" t="s">
        <v>31</v>
      </c>
      <c r="E21" s="138" t="s">
        <v>5</v>
      </c>
      <c r="F21" s="138" t="s">
        <v>6</v>
      </c>
      <c r="G21" s="138" t="s">
        <v>32</v>
      </c>
      <c r="H21" s="138" t="s">
        <v>8</v>
      </c>
      <c r="I21" s="215" t="s">
        <v>254</v>
      </c>
      <c r="J21" s="138" t="s">
        <v>79</v>
      </c>
      <c r="K21" s="138" t="s">
        <v>247</v>
      </c>
      <c r="L21" s="198" t="s">
        <v>12</v>
      </c>
    </row>
    <row r="22" spans="1:18" s="210" customFormat="1" ht="24" customHeight="1">
      <c r="A22" s="7">
        <v>1</v>
      </c>
      <c r="B22" s="224" t="s">
        <v>256</v>
      </c>
      <c r="C22" s="109" t="s">
        <v>26</v>
      </c>
      <c r="D22" s="53">
        <f>D5*12</f>
        <v>60000</v>
      </c>
      <c r="E22" s="72">
        <v>2000</v>
      </c>
      <c r="F22" s="231">
        <f>400/E22</f>
        <v>0.2</v>
      </c>
      <c r="G22" s="114">
        <f>D22/E22</f>
        <v>30</v>
      </c>
      <c r="H22" s="114">
        <f>G22*F22*E22</f>
        <v>12000</v>
      </c>
      <c r="I22" s="226">
        <v>54</v>
      </c>
      <c r="J22" s="117">
        <f t="shared" ref="J22:J26" si="6">G22/I22</f>
        <v>0.55555555555555558</v>
      </c>
      <c r="K22" s="114">
        <f t="shared" ref="K22:K25" si="7">J22*E22</f>
        <v>1111.1111111111111</v>
      </c>
      <c r="L22" s="228" t="s">
        <v>38</v>
      </c>
    </row>
    <row r="23" spans="1:18" s="210" customFormat="1" ht="29.25" customHeight="1">
      <c r="A23" s="226">
        <v>2</v>
      </c>
      <c r="B23" s="224" t="s">
        <v>258</v>
      </c>
      <c r="C23" s="72" t="s">
        <v>28</v>
      </c>
      <c r="D23" s="53">
        <f>D6*6</f>
        <v>109200</v>
      </c>
      <c r="E23" s="72">
        <v>250</v>
      </c>
      <c r="F23" s="231">
        <f t="shared" ref="F23:F26" si="8">400/E23</f>
        <v>1.6</v>
      </c>
      <c r="G23" s="114">
        <f t="shared" ref="G23:G26" si="9">D23/E23</f>
        <v>436.8</v>
      </c>
      <c r="H23" s="114">
        <f>G23*F23*E23</f>
        <v>174720.00000000003</v>
      </c>
      <c r="I23" s="226">
        <v>54</v>
      </c>
      <c r="J23" s="117">
        <f t="shared" si="6"/>
        <v>8.0888888888888886</v>
      </c>
      <c r="K23" s="114">
        <f t="shared" si="7"/>
        <v>2022.2222222222222</v>
      </c>
      <c r="L23" s="232" t="s">
        <v>38</v>
      </c>
    </row>
    <row r="24" spans="1:18" s="210" customFormat="1" ht="29.25" customHeight="1">
      <c r="A24" s="7">
        <v>3</v>
      </c>
      <c r="B24" s="224" t="s">
        <v>265</v>
      </c>
      <c r="C24" s="72" t="s">
        <v>26</v>
      </c>
      <c r="D24" s="53">
        <f>D25*3</f>
        <v>5460</v>
      </c>
      <c r="E24" s="72">
        <v>250</v>
      </c>
      <c r="F24" s="231">
        <f t="shared" si="8"/>
        <v>1.6</v>
      </c>
      <c r="G24" s="114">
        <f t="shared" si="9"/>
        <v>21.84</v>
      </c>
      <c r="H24" s="114">
        <f t="shared" ref="H24:H26" si="10">G24*F24*E24</f>
        <v>8736</v>
      </c>
      <c r="I24" s="226">
        <v>54</v>
      </c>
      <c r="J24" s="117">
        <f t="shared" si="6"/>
        <v>0.40444444444444444</v>
      </c>
      <c r="K24" s="114">
        <f t="shared" si="7"/>
        <v>101.11111111111111</v>
      </c>
      <c r="L24" s="232"/>
    </row>
    <row r="25" spans="1:18" s="210" customFormat="1" ht="33.75" customHeight="1">
      <c r="A25" s="226">
        <v>4</v>
      </c>
      <c r="B25" s="255" t="s">
        <v>261</v>
      </c>
      <c r="C25" s="72" t="s">
        <v>28</v>
      </c>
      <c r="D25" s="114">
        <f>D6/100*10</f>
        <v>1820</v>
      </c>
      <c r="E25" s="238">
        <v>50</v>
      </c>
      <c r="F25" s="231">
        <f t="shared" si="8"/>
        <v>8</v>
      </c>
      <c r="G25" s="114">
        <f t="shared" si="9"/>
        <v>36.4</v>
      </c>
      <c r="H25" s="114">
        <f t="shared" si="10"/>
        <v>14560</v>
      </c>
      <c r="I25" s="226">
        <v>54</v>
      </c>
      <c r="J25" s="117">
        <f t="shared" si="6"/>
        <v>0.67407407407407405</v>
      </c>
      <c r="K25" s="114">
        <f t="shared" si="7"/>
        <v>33.703703703703702</v>
      </c>
      <c r="L25" s="228" t="s">
        <v>224</v>
      </c>
    </row>
    <row r="26" spans="1:18" s="209" customFormat="1" ht="30.75" customHeight="1">
      <c r="A26" s="226">
        <v>5</v>
      </c>
      <c r="B26" s="378" t="s">
        <v>317</v>
      </c>
      <c r="C26" s="72" t="s">
        <v>28</v>
      </c>
      <c r="D26" s="114">
        <f>D25</f>
        <v>1820</v>
      </c>
      <c r="E26" s="238">
        <v>250</v>
      </c>
      <c r="F26" s="231">
        <f t="shared" si="8"/>
        <v>1.6</v>
      </c>
      <c r="G26" s="114">
        <f t="shared" si="9"/>
        <v>7.28</v>
      </c>
      <c r="H26" s="114">
        <f t="shared" si="10"/>
        <v>2912.0000000000005</v>
      </c>
      <c r="I26" s="226">
        <v>33</v>
      </c>
      <c r="J26" s="369">
        <f t="shared" si="6"/>
        <v>0.22060606060606061</v>
      </c>
      <c r="K26" s="370">
        <f>J26*E26</f>
        <v>55.151515151515156</v>
      </c>
      <c r="L26" s="228"/>
    </row>
    <row r="27" spans="1:18" ht="30.75" customHeight="1">
      <c r="A27" s="747" t="s">
        <v>80</v>
      </c>
      <c r="B27" s="747"/>
      <c r="C27" s="11"/>
      <c r="D27" s="12"/>
      <c r="E27" s="12">
        <v>0</v>
      </c>
      <c r="F27" s="12">
        <v>0</v>
      </c>
      <c r="G27" s="239">
        <f>SUM(G22:G25)</f>
        <v>525.04</v>
      </c>
      <c r="H27" s="239">
        <f>SUM(H22:H25)</f>
        <v>210016.00000000003</v>
      </c>
      <c r="I27" s="214"/>
      <c r="J27" s="254">
        <f>SUM(J22:J25)</f>
        <v>9.7229629629629617</v>
      </c>
      <c r="K27" s="755"/>
      <c r="L27" s="755"/>
    </row>
    <row r="28" spans="1:18" ht="29.25" customHeight="1">
      <c r="A28" s="756" t="s">
        <v>255</v>
      </c>
      <c r="B28" s="756"/>
      <c r="C28" s="199"/>
      <c r="D28" s="199">
        <v>0</v>
      </c>
      <c r="E28" s="199">
        <v>0</v>
      </c>
      <c r="F28" s="200">
        <v>0</v>
      </c>
      <c r="G28" s="200">
        <f>SUM(G7+G14+G19+G27)</f>
        <v>1751.44</v>
      </c>
      <c r="H28" s="200">
        <f>SUM(H7+H14+H19+H27)</f>
        <v>700576</v>
      </c>
      <c r="I28" s="217"/>
      <c r="J28" s="201"/>
      <c r="K28" s="202"/>
      <c r="L28" s="202"/>
    </row>
    <row r="29" spans="1:18" s="219" customFormat="1" ht="27.75" customHeight="1">
      <c r="A29" s="757" t="s">
        <v>266</v>
      </c>
      <c r="B29" s="757"/>
      <c r="C29" s="220"/>
      <c r="D29" s="220"/>
      <c r="E29" s="220"/>
      <c r="F29" s="220"/>
      <c r="G29" s="220"/>
      <c r="H29" s="221">
        <f>H28/68.34</f>
        <v>10251.331577407082</v>
      </c>
      <c r="I29" s="222"/>
      <c r="J29" s="223"/>
      <c r="K29" s="223"/>
      <c r="L29" s="220"/>
    </row>
    <row r="30" spans="1:18" s="244" customFormat="1" ht="26.25" customHeight="1">
      <c r="A30" s="721" t="s">
        <v>321</v>
      </c>
      <c r="B30" s="721"/>
      <c r="C30" s="721"/>
      <c r="D30" s="68"/>
      <c r="E30" s="68"/>
      <c r="F30" s="176"/>
      <c r="G30" s="68" t="s">
        <v>44</v>
      </c>
      <c r="H30" s="68" t="s">
        <v>217</v>
      </c>
      <c r="J30" s="248"/>
      <c r="L30" s="68"/>
    </row>
    <row r="31" spans="1:18" s="244" customFormat="1" ht="49.5" customHeight="1">
      <c r="A31" s="267" t="s">
        <v>318</v>
      </c>
      <c r="B31" s="268"/>
      <c r="C31" s="269" t="s">
        <v>48</v>
      </c>
      <c r="D31" s="270"/>
      <c r="E31" s="270"/>
      <c r="F31" s="269" t="s">
        <v>200</v>
      </c>
      <c r="G31" s="39"/>
      <c r="H31" s="324"/>
      <c r="I31" s="270" t="s">
        <v>320</v>
      </c>
      <c r="J31" s="324" t="s">
        <v>49</v>
      </c>
      <c r="K31" s="324"/>
      <c r="L31" s="39"/>
    </row>
    <row r="32" spans="1:18" s="244" customFormat="1" ht="29.25" customHeight="1">
      <c r="A32" s="271"/>
      <c r="B32" s="272"/>
      <c r="C32" s="271" t="s">
        <v>286</v>
      </c>
      <c r="D32" s="271"/>
      <c r="E32" s="271"/>
      <c r="F32" s="244" t="s">
        <v>52</v>
      </c>
      <c r="G32" s="271"/>
      <c r="H32" s="325"/>
      <c r="I32" s="271"/>
      <c r="J32" s="325" t="s">
        <v>54</v>
      </c>
      <c r="K32" s="326"/>
      <c r="L32" s="323" t="s">
        <v>81</v>
      </c>
    </row>
  </sheetData>
  <mergeCells count="19">
    <mergeCell ref="K27:L27"/>
    <mergeCell ref="A28:B28"/>
    <mergeCell ref="A29:B29"/>
    <mergeCell ref="A30:C30"/>
    <mergeCell ref="A19:B19"/>
    <mergeCell ref="K19:L19"/>
    <mergeCell ref="A20:L20"/>
    <mergeCell ref="A27:B27"/>
    <mergeCell ref="A1:L1"/>
    <mergeCell ref="A2:L2"/>
    <mergeCell ref="A3:L3"/>
    <mergeCell ref="A4:B4"/>
    <mergeCell ref="A7:B7"/>
    <mergeCell ref="K7:L7"/>
    <mergeCell ref="A8:L8"/>
    <mergeCell ref="A9:B9"/>
    <mergeCell ref="A14:B14"/>
    <mergeCell ref="K14:L14"/>
    <mergeCell ref="A15:L15"/>
  </mergeCells>
  <printOptions horizontalCentered="1"/>
  <pageMargins left="0.35" right="0.36" top="0.32" bottom="0.28999999999999998" header="0.17" footer="0.18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29</vt:i4>
      </vt:variant>
    </vt:vector>
  </HeadingPairs>
  <TitlesOfParts>
    <vt:vector size="68" baseType="lpstr">
      <vt:lpstr>Nursery Comb (2)</vt:lpstr>
      <vt:lpstr>N.Bi Bi Mehro</vt:lpstr>
      <vt:lpstr>N.J.Markaz</vt:lpstr>
      <vt:lpstr>N.Paghman</vt:lpstr>
      <vt:lpstr>N.Qargha</vt:lpstr>
      <vt:lpstr>N.DahMorad</vt:lpstr>
      <vt:lpstr>N.Ghuzargha2</vt:lpstr>
      <vt:lpstr>N.Ghuzargha1</vt:lpstr>
      <vt:lpstr>تپه مرنجان</vt:lpstr>
      <vt:lpstr>بادام باغ 1</vt:lpstr>
      <vt:lpstr>بنی حصار</vt:lpstr>
      <vt:lpstr>کوه تلویزیون</vt:lpstr>
      <vt:lpstr>شیردروازه</vt:lpstr>
      <vt:lpstr>قصبه</vt:lpstr>
      <vt:lpstr>تپه قرغه</vt:lpstr>
      <vt:lpstr>هرات</vt:lpstr>
      <vt:lpstr>بادام باغ</vt:lpstr>
      <vt:lpstr>تنگی غارو</vt:lpstr>
      <vt:lpstr>کوه قرغ</vt:lpstr>
      <vt:lpstr>منشی میرغلام وغیبی بابا</vt:lpstr>
      <vt:lpstr>کافر کوه</vt:lpstr>
      <vt:lpstr>چمتله</vt:lpstr>
      <vt:lpstr>قلعه مسلم</vt:lpstr>
      <vt:lpstr>Badam Bagh 3</vt:lpstr>
      <vt:lpstr>Dashte Chamtala 4</vt:lpstr>
      <vt:lpstr>Binihesar 5</vt:lpstr>
      <vt:lpstr>Koe Qurugh 6</vt:lpstr>
      <vt:lpstr>Shiwaki 7</vt:lpstr>
      <vt:lpstr>Qasaba East 8</vt:lpstr>
      <vt:lpstr>منشی میرغلام</vt:lpstr>
      <vt:lpstr>کلوله پشته</vt:lpstr>
      <vt:lpstr>تنگی غارو1</vt:lpstr>
      <vt:lpstr>Nursery Combain Plan</vt:lpstr>
      <vt:lpstr>Combain plan</vt:lpstr>
      <vt:lpstr>Financial Plan 1397</vt:lpstr>
      <vt:lpstr>Annual Workplan</vt:lpstr>
      <vt:lpstr>FP monthly base 1397</vt:lpstr>
      <vt:lpstr>Maintenance Plan</vt:lpstr>
      <vt:lpstr>Labour Analysis</vt:lpstr>
      <vt:lpstr>'Annual Workplan'!Print_Area</vt:lpstr>
      <vt:lpstr>'Combain plan'!Print_Area</vt:lpstr>
      <vt:lpstr>'Financial Plan 1397'!Print_Area</vt:lpstr>
      <vt:lpstr>'FP monthly base 1397'!Print_Area</vt:lpstr>
      <vt:lpstr>'N.Bi Bi Mehro'!Print_Area</vt:lpstr>
      <vt:lpstr>N.DahMorad!Print_Area</vt:lpstr>
      <vt:lpstr>N.Ghuzargha1!Print_Area</vt:lpstr>
      <vt:lpstr>N.Ghuzargha2!Print_Area</vt:lpstr>
      <vt:lpstr>N.J.Markaz!Print_Area</vt:lpstr>
      <vt:lpstr>N.Paghman!Print_Area</vt:lpstr>
      <vt:lpstr>N.Qargha!Print_Area</vt:lpstr>
      <vt:lpstr>'Nursery Combain Plan'!Print_Area</vt:lpstr>
      <vt:lpstr>'بادام باغ'!Print_Area</vt:lpstr>
      <vt:lpstr>'بادام باغ 1'!Print_Area</vt:lpstr>
      <vt:lpstr>'بنی حصار'!Print_Area</vt:lpstr>
      <vt:lpstr>'تپه قرغه'!Print_Area</vt:lpstr>
      <vt:lpstr>'تپه مرنجان'!Print_Area</vt:lpstr>
      <vt:lpstr>'تنگی غارو'!Print_Area</vt:lpstr>
      <vt:lpstr>چمتله!Print_Area</vt:lpstr>
      <vt:lpstr>شیردروازه!Print_Area</vt:lpstr>
      <vt:lpstr>قصبه!Print_Area</vt:lpstr>
      <vt:lpstr>'قلعه مسلم'!Print_Area</vt:lpstr>
      <vt:lpstr>'کافر کوه'!Print_Area</vt:lpstr>
      <vt:lpstr>'کلوله پشته'!Print_Area</vt:lpstr>
      <vt:lpstr>'کوه تلویزیون'!Print_Area</vt:lpstr>
      <vt:lpstr>'کوه قرغ'!Print_Area</vt:lpstr>
      <vt:lpstr>'منشی میرغلام'!Print_Area</vt:lpstr>
      <vt:lpstr>'منشی میرغلام وغیبی بابا'!Print_Area</vt:lpstr>
      <vt:lpstr>هرات!Print_Area</vt:lpstr>
    </vt:vector>
  </TitlesOfParts>
  <Company>Novin Pendar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Novin Pendar</dc:creator>
  <cp:lastModifiedBy>Mohammad Amin Nesar</cp:lastModifiedBy>
  <cp:lastPrinted>2018-01-15T10:50:03Z</cp:lastPrinted>
  <dcterms:created xsi:type="dcterms:W3CDTF">2016-09-20T07:10:47Z</dcterms:created>
  <dcterms:modified xsi:type="dcterms:W3CDTF">2018-03-31T05:46:49Z</dcterms:modified>
</cp:coreProperties>
</file>