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cean\Desktop\پلان عملیاتی ریاست جنگلات\پلان عملیاتی سال 1397\"/>
    </mc:Choice>
  </mc:AlternateContent>
  <bookViews>
    <workbookView xWindow="240" yWindow="90" windowWidth="11490" windowHeight="6915" tabRatio="912"/>
  </bookViews>
  <sheets>
    <sheet name="پلان تطبیقی برنامه 1397" sheetId="5" r:id="rId1"/>
    <sheet name="پلان مالی سالانه به تفکیک ماه96" sheetId="14" state="hidden" r:id="rId2"/>
    <sheet name="Chart1" sheetId="23" state="hidden" r:id="rId3"/>
    <sheet name="پلان گاری سالانه با نواقص" sheetId="13" state="hidden" r:id="rId4"/>
    <sheet name="فارمت تدارکات" sheetId="7" state="hidden" r:id="rId5"/>
    <sheet name="Financial Plan with errors" sheetId="24" state="hidden" r:id="rId6"/>
    <sheet name="B41397 with errors " sheetId="26" state="hidden" r:id="rId7"/>
    <sheet name="b4 " sheetId="15" state="hidden" r:id="rId8"/>
    <sheet name="جد.ل مالی برای پرو›ه " sheetId="18" state="hidden" r:id="rId9"/>
    <sheet name="بودجه توحیدی سالانه و 5 ساله بر" sheetId="12" state="hidden" r:id="rId10"/>
  </sheets>
  <externalReferences>
    <externalReference r:id="rId11"/>
    <externalReference r:id="rId12"/>
    <externalReference r:id="rId13"/>
  </externalReferences>
  <definedNames>
    <definedName name="_xlnm.Print_Area" localSheetId="7">'b4 '!#REF!</definedName>
    <definedName name="_xlnm.Print_Area" localSheetId="5" xml:space="preserve">                                        'Financial Plan with errors'!$A$1:$V$98</definedName>
    <definedName name="_xlnm.Print_Area" localSheetId="3">'پلان گاری سالانه با نواقص'!$A$1:$O$579</definedName>
    <definedName name="_xlnm.Print_Area" localSheetId="1">'پلان مالی سالانه به تفکیک ماه96'!$A$1:$P$130</definedName>
    <definedName name="_xlnm.Print_Area" localSheetId="4">'فارمت تدارکات'!#REF!</definedName>
    <definedName name="Z_1D4C8A1E_8391_408C_9DFF_7B7E159CFB3F_.wvu.PrintArea" localSheetId="0" hidden="1">'پلان تطبیقی برنامه 1397'!$A$24:$F$67</definedName>
    <definedName name="Z_1D4C8A1E_8391_408C_9DFF_7B7E159CFB3F_.wvu.PrintArea" localSheetId="3" hidden="1">'پلان گاری سالانه با نواقص'!$A$1:$N$977</definedName>
    <definedName name="Z_1D4C8A1E_8391_408C_9DFF_7B7E159CFB3F_.wvu.PrintTitles" localSheetId="0" hidden="1">'پلان تطبیقی برنامه 1397'!#REF!</definedName>
    <definedName name="Z_2A2E3AEC_D946_46FD_964E_CED3C70F8B79_.wvu.PrintArea" localSheetId="3" hidden="1">'پلان گاری سالانه با نواقص'!$A$1:$N$977</definedName>
    <definedName name="Z_2A2E3AEC_D946_46FD_964E_CED3C70F8B79_.wvu.PrintTitles" localSheetId="3" hidden="1">'پلان گاری سالانه با نواقص'!#REF!</definedName>
    <definedName name="Z_2A2E3AEC_D946_46FD_964E_CED3C70F8B79_.wvu.Rows" localSheetId="1" hidden="1">'پلان مالی سالانه به تفکیک ماه96'!#REF!</definedName>
    <definedName name="Z_A6FE9F2F_2B0A_4C57_8751_3E482AB501FD_.wvu.PrintArea" localSheetId="0" hidden="1">'پلان تطبیقی برنامه 1397'!$A$24:$F$67</definedName>
    <definedName name="Z_A6FE9F2F_2B0A_4C57_8751_3E482AB501FD_.wvu.PrintTitles" localSheetId="0" hidden="1">'پلان تطبیقی برنامه 1397'!#REF!</definedName>
    <definedName name="Z_A6FE9F2F_2B0A_4C57_8751_3E482AB501FD_.wvu.Rows" localSheetId="7" hidden="1">'b4 '!#REF!,'b4 '!#REF!,'b4 '!#REF!</definedName>
    <definedName name="Z_A6FE9F2F_2B0A_4C57_8751_3E482AB501FD_.wvu.Rows" localSheetId="0" hidden="1">'پلان تطبیقی برنامه 1397'!#REF!</definedName>
  </definedNames>
  <calcPr calcId="162913"/>
  <fileRecoveryPr autoRecover="0"/>
</workbook>
</file>

<file path=xl/calcChain.xml><?xml version="1.0" encoding="utf-8"?>
<calcChain xmlns="http://schemas.openxmlformats.org/spreadsheetml/2006/main">
  <c r="E15" i="5" l="1"/>
  <c r="E13" i="5" s="1"/>
  <c r="E16" i="5"/>
  <c r="E22" i="5" l="1"/>
  <c r="E7" i="5"/>
  <c r="E23" i="5"/>
  <c r="E8" i="5"/>
  <c r="F94" i="26"/>
  <c r="D94" i="26"/>
  <c r="D93" i="26"/>
  <c r="F93" i="26" s="1"/>
  <c r="F92" i="26"/>
  <c r="D92" i="26"/>
  <c r="F91" i="26"/>
  <c r="F90" i="26"/>
  <c r="D90" i="26"/>
  <c r="D89" i="26"/>
  <c r="F89" i="26" s="1"/>
  <c r="F88" i="26"/>
  <c r="F87" i="26"/>
  <c r="D87" i="26"/>
  <c r="D86" i="26"/>
  <c r="F86" i="26" s="1"/>
  <c r="F85" i="26"/>
  <c r="D85" i="26"/>
  <c r="F84" i="26"/>
  <c r="F83" i="26"/>
  <c r="F82" i="26"/>
  <c r="F81" i="26"/>
  <c r="F80" i="26"/>
  <c r="G80" i="26" s="1"/>
  <c r="G79" i="26"/>
  <c r="F79" i="26"/>
  <c r="D78" i="26"/>
  <c r="F78" i="26" s="1"/>
  <c r="F77" i="26"/>
  <c r="F76" i="26"/>
  <c r="F75" i="26"/>
  <c r="F74" i="26"/>
  <c r="E73" i="26"/>
  <c r="E95" i="26" s="1"/>
  <c r="D55" i="26" s="1"/>
  <c r="D73" i="26"/>
  <c r="D72" i="26"/>
  <c r="F72" i="26" s="1"/>
  <c r="D71" i="26"/>
  <c r="F71" i="26" s="1"/>
  <c r="F70" i="26"/>
  <c r="D70" i="26"/>
  <c r="D69" i="26"/>
  <c r="F69" i="26" s="1"/>
  <c r="F68" i="26"/>
  <c r="D68" i="26"/>
  <c r="D67" i="26"/>
  <c r="F67" i="26" s="1"/>
  <c r="D66" i="26"/>
  <c r="F66" i="26" s="1"/>
  <c r="D65" i="26"/>
  <c r="F65" i="26" s="1"/>
  <c r="F64" i="26"/>
  <c r="D63" i="26"/>
  <c r="F63" i="26" s="1"/>
  <c r="F62" i="26"/>
  <c r="F61" i="26"/>
  <c r="D60" i="26"/>
  <c r="F60" i="26" s="1"/>
  <c r="D53" i="26"/>
  <c r="F73" i="26" l="1"/>
  <c r="E5" i="5"/>
  <c r="F95" i="26"/>
  <c r="D95" i="26"/>
  <c r="D54" i="26" s="1"/>
  <c r="D56" i="26" s="1"/>
  <c r="I81" i="24" l="1"/>
  <c r="S80" i="24"/>
  <c r="M80" i="24"/>
  <c r="I80" i="24" s="1"/>
  <c r="I78" i="24"/>
  <c r="I77" i="24"/>
  <c r="S76" i="24"/>
  <c r="M76" i="24"/>
  <c r="I76" i="24" s="1"/>
  <c r="I75" i="24"/>
  <c r="U74" i="24"/>
  <c r="T74" i="24"/>
  <c r="S74" i="24"/>
  <c r="R74" i="24"/>
  <c r="Q74" i="24"/>
  <c r="P74" i="24"/>
  <c r="O74" i="24"/>
  <c r="N74" i="24"/>
  <c r="M74" i="24"/>
  <c r="L74" i="24"/>
  <c r="I73" i="24"/>
  <c r="I72" i="24"/>
  <c r="U71" i="24"/>
  <c r="T71" i="24"/>
  <c r="S71" i="24"/>
  <c r="R71" i="24"/>
  <c r="Q71" i="24"/>
  <c r="P71" i="24"/>
  <c r="O71" i="24"/>
  <c r="N71" i="24"/>
  <c r="M71" i="24"/>
  <c r="L71" i="24"/>
  <c r="I71" i="24"/>
  <c r="I70" i="24"/>
  <c r="I69" i="24"/>
  <c r="I68" i="24"/>
  <c r="S67" i="24"/>
  <c r="M67" i="24"/>
  <c r="I66" i="24"/>
  <c r="S65" i="24"/>
  <c r="O65" i="24"/>
  <c r="M65" i="24"/>
  <c r="I64" i="24"/>
  <c r="U63" i="24"/>
  <c r="P63" i="24"/>
  <c r="O63" i="24"/>
  <c r="N63" i="24"/>
  <c r="I62" i="24"/>
  <c r="S61" i="24"/>
  <c r="O61" i="24"/>
  <c r="M61" i="24"/>
  <c r="U59" i="24"/>
  <c r="I59" i="24"/>
  <c r="S58" i="24"/>
  <c r="R58" i="24"/>
  <c r="O58" i="24"/>
  <c r="M58" i="24"/>
  <c r="I58" i="24" s="1"/>
  <c r="I57" i="24"/>
  <c r="I56" i="24"/>
  <c r="I55" i="24"/>
  <c r="I54" i="24"/>
  <c r="I53" i="24"/>
  <c r="U52" i="24"/>
  <c r="T52" i="24"/>
  <c r="I52" i="24" s="1"/>
  <c r="I51" i="24"/>
  <c r="I50" i="24"/>
  <c r="L49" i="24"/>
  <c r="I49" i="24" s="1"/>
  <c r="I48" i="24"/>
  <c r="I47" i="24"/>
  <c r="S46" i="24"/>
  <c r="O46" i="24"/>
  <c r="M46" i="24"/>
  <c r="Q45" i="24"/>
  <c r="P45" i="24"/>
  <c r="U44" i="24"/>
  <c r="T44" i="24"/>
  <c r="S44" i="24"/>
  <c r="R44" i="24"/>
  <c r="Q44" i="24"/>
  <c r="P44" i="24"/>
  <c r="O44" i="24"/>
  <c r="N44" i="24"/>
  <c r="M44" i="24"/>
  <c r="U43" i="24"/>
  <c r="T43" i="24"/>
  <c r="S43" i="24"/>
  <c r="R43" i="24"/>
  <c r="Q43" i="24"/>
  <c r="P43" i="24"/>
  <c r="O43" i="24"/>
  <c r="N43" i="24"/>
  <c r="M43" i="24"/>
  <c r="L43" i="24"/>
  <c r="I43" i="24" s="1"/>
  <c r="I42" i="24"/>
  <c r="I41" i="24"/>
  <c r="I40" i="24"/>
  <c r="U39" i="24"/>
  <c r="T39" i="24"/>
  <c r="S39" i="24"/>
  <c r="R39" i="24"/>
  <c r="Q39" i="24"/>
  <c r="P39" i="24"/>
  <c r="O39" i="24"/>
  <c r="N39" i="24"/>
  <c r="M39" i="24"/>
  <c r="L39" i="24"/>
  <c r="I39" i="24" s="1"/>
  <c r="I38" i="24"/>
  <c r="I37" i="24"/>
  <c r="U36" i="24"/>
  <c r="T36" i="24"/>
  <c r="S36" i="24"/>
  <c r="R36" i="24"/>
  <c r="Q36" i="24"/>
  <c r="P36" i="24"/>
  <c r="O36" i="24"/>
  <c r="N36" i="24"/>
  <c r="M36" i="24"/>
  <c r="L36" i="24"/>
  <c r="I35" i="24"/>
  <c r="S34" i="24"/>
  <c r="O34" i="24"/>
  <c r="M34" i="24"/>
  <c r="I33" i="24"/>
  <c r="I32" i="24"/>
  <c r="I31" i="24"/>
  <c r="P30" i="24"/>
  <c r="L30" i="24"/>
  <c r="I30" i="24"/>
  <c r="I29" i="24"/>
  <c r="I28" i="24"/>
  <c r="U27" i="24"/>
  <c r="T27" i="24"/>
  <c r="S27" i="24"/>
  <c r="R27" i="24"/>
  <c r="Q27" i="24"/>
  <c r="P27" i="24"/>
  <c r="O27" i="24"/>
  <c r="N27" i="24"/>
  <c r="M27" i="24"/>
  <c r="L27" i="24"/>
  <c r="I27" i="24" s="1"/>
  <c r="I26" i="24"/>
  <c r="I25" i="24"/>
  <c r="P24" i="24"/>
  <c r="L24" i="24"/>
  <c r="I24" i="24" s="1"/>
  <c r="P23" i="24"/>
  <c r="L23" i="24"/>
  <c r="I22" i="24"/>
  <c r="I21" i="24"/>
  <c r="P20" i="24"/>
  <c r="I20" i="24" s="1"/>
  <c r="I19" i="24"/>
  <c r="I18" i="24"/>
  <c r="M17" i="24"/>
  <c r="I17" i="24" s="1"/>
  <c r="I16" i="24"/>
  <c r="I15" i="24"/>
  <c r="I14" i="24"/>
  <c r="L13" i="24"/>
  <c r="I12" i="24"/>
  <c r="U11" i="24"/>
  <c r="I11" i="24"/>
  <c r="N10" i="24"/>
  <c r="I10" i="24" s="1"/>
  <c r="U9" i="24"/>
  <c r="T9" i="24"/>
  <c r="S9" i="24"/>
  <c r="R9" i="24"/>
  <c r="Q9" i="24"/>
  <c r="P9" i="24"/>
  <c r="O9" i="24"/>
  <c r="N9" i="24"/>
  <c r="M9" i="24"/>
  <c r="L9" i="24"/>
  <c r="U8" i="24"/>
  <c r="T8" i="24"/>
  <c r="S8" i="24"/>
  <c r="R8" i="24"/>
  <c r="Q8" i="24"/>
  <c r="P8" i="24"/>
  <c r="O8" i="24"/>
  <c r="O82" i="24" s="1"/>
  <c r="N8" i="24"/>
  <c r="M8" i="24"/>
  <c r="L8" i="24"/>
  <c r="Q82" i="24" l="1"/>
  <c r="U82" i="24"/>
  <c r="I46" i="24"/>
  <c r="I74" i="24"/>
  <c r="N82" i="24"/>
  <c r="R82" i="24"/>
  <c r="I9" i="24"/>
  <c r="P82" i="24"/>
  <c r="T82" i="24"/>
  <c r="I23" i="24"/>
  <c r="I34" i="24"/>
  <c r="I36" i="24"/>
  <c r="I82" i="24" s="1"/>
  <c r="I61" i="24"/>
  <c r="I63" i="24"/>
  <c r="S82" i="24"/>
  <c r="I65" i="24"/>
  <c r="I67" i="24"/>
  <c r="L82" i="24"/>
  <c r="M82" i="24"/>
  <c r="N8" i="13" l="1"/>
  <c r="J552" i="13"/>
  <c r="K552" i="13"/>
  <c r="L552" i="13"/>
  <c r="M552" i="13"/>
  <c r="I554" i="13"/>
  <c r="I548" i="13"/>
  <c r="I544" i="13" l="1"/>
  <c r="I550" i="13"/>
  <c r="I551" i="13" s="1"/>
  <c r="J537" i="13"/>
  <c r="K537" i="13"/>
  <c r="L537" i="13"/>
  <c r="M537" i="13"/>
  <c r="N536" i="13"/>
  <c r="I536" i="13"/>
  <c r="N528" i="13"/>
  <c r="I528" i="13"/>
  <c r="N520" i="13"/>
  <c r="I520" i="13"/>
  <c r="I513" i="13"/>
  <c r="N513" i="13"/>
  <c r="N505" i="13"/>
  <c r="I505" i="13"/>
  <c r="I497" i="13"/>
  <c r="N497" i="13"/>
  <c r="N489" i="13"/>
  <c r="I489" i="13"/>
  <c r="N481" i="13"/>
  <c r="I481" i="13"/>
  <c r="N473" i="13"/>
  <c r="I473" i="13"/>
  <c r="N464" i="13"/>
  <c r="I464" i="13"/>
  <c r="N456" i="13"/>
  <c r="I456" i="13"/>
  <c r="N447" i="13"/>
  <c r="I447" i="13"/>
  <c r="N439" i="13"/>
  <c r="I439" i="13"/>
  <c r="I423" i="13"/>
  <c r="N416" i="13"/>
  <c r="I416" i="13"/>
  <c r="I408" i="13"/>
  <c r="I398" i="13"/>
  <c r="N390" i="13"/>
  <c r="I390" i="13"/>
  <c r="N382" i="13"/>
  <c r="I382" i="13"/>
  <c r="N373" i="13"/>
  <c r="I373" i="13"/>
  <c r="N365" i="13"/>
  <c r="I365" i="13"/>
  <c r="I357" i="13"/>
  <c r="N357" i="13"/>
  <c r="N348" i="13"/>
  <c r="I348" i="13"/>
  <c r="I342" i="13"/>
  <c r="N319" i="13"/>
  <c r="N327" i="13"/>
  <c r="I334" i="13"/>
  <c r="I327" i="13"/>
  <c r="N311" i="13"/>
  <c r="I311" i="13"/>
  <c r="I319" i="13"/>
  <c r="J300" i="13"/>
  <c r="J301" i="13" s="1"/>
  <c r="K300" i="13"/>
  <c r="K301" i="13" s="1"/>
  <c r="L300" i="13"/>
  <c r="L301" i="13" s="1"/>
  <c r="M300" i="13"/>
  <c r="M301" i="13" s="1"/>
  <c r="J69" i="13"/>
  <c r="K69" i="13"/>
  <c r="L69" i="13"/>
  <c r="M69" i="13"/>
  <c r="O49" i="13"/>
  <c r="O53" i="13"/>
  <c r="O52" i="13"/>
  <c r="O51" i="13"/>
  <c r="O50" i="13"/>
  <c r="N19" i="13"/>
  <c r="O10" i="13"/>
  <c r="O11" i="13"/>
  <c r="O12" i="13"/>
  <c r="O15" i="13"/>
  <c r="O16" i="13"/>
  <c r="O17" i="13"/>
  <c r="O18" i="13"/>
  <c r="O21" i="13"/>
  <c r="O22" i="13"/>
  <c r="O23" i="13"/>
  <c r="O26" i="13"/>
  <c r="O27" i="13"/>
  <c r="O28" i="13"/>
  <c r="O32" i="13"/>
  <c r="O35" i="13"/>
  <c r="O36" i="13"/>
  <c r="O39" i="13"/>
  <c r="O40" i="13"/>
  <c r="O43" i="13"/>
  <c r="O44" i="13"/>
  <c r="O45" i="13"/>
  <c r="O46" i="13"/>
  <c r="O57" i="13"/>
  <c r="O58" i="13"/>
  <c r="O62" i="13"/>
  <c r="O63" i="13"/>
  <c r="O66" i="13"/>
  <c r="O68" i="13" s="1"/>
  <c r="O67" i="13"/>
  <c r="O70" i="13"/>
  <c r="O73" i="13"/>
  <c r="O74" i="13"/>
  <c r="O75" i="13"/>
  <c r="O76" i="13"/>
  <c r="O77" i="13"/>
  <c r="O79" i="13"/>
  <c r="O82" i="13"/>
  <c r="O83" i="13"/>
  <c r="O84" i="13"/>
  <c r="O85" i="13"/>
  <c r="O88" i="13"/>
  <c r="O89" i="13"/>
  <c r="O90" i="13"/>
  <c r="O91" i="13"/>
  <c r="O95" i="13"/>
  <c r="O98" i="13"/>
  <c r="O101" i="13"/>
  <c r="O103" i="13"/>
  <c r="O105" i="13"/>
  <c r="O106" i="13"/>
  <c r="O109" i="13"/>
  <c r="O110" i="13"/>
  <c r="O111" i="13"/>
  <c r="O112" i="13"/>
  <c r="O113" i="13"/>
  <c r="O116" i="13"/>
  <c r="O117" i="13"/>
  <c r="O118" i="13"/>
  <c r="O119" i="13"/>
  <c r="O120" i="13"/>
  <c r="O122" i="13"/>
  <c r="O125" i="13"/>
  <c r="O126" i="13"/>
  <c r="O127" i="13"/>
  <c r="O128" i="13"/>
  <c r="O131" i="13"/>
  <c r="O132" i="13"/>
  <c r="O136" i="13"/>
  <c r="O139" i="13"/>
  <c r="O142" i="13"/>
  <c r="O144" i="13"/>
  <c r="O146" i="13"/>
  <c r="O147" i="13"/>
  <c r="O151" i="13"/>
  <c r="O152" i="13"/>
  <c r="O153" i="13"/>
  <c r="O154" i="13"/>
  <c r="O155" i="13"/>
  <c r="O156" i="13"/>
  <c r="O159" i="13"/>
  <c r="O160" i="13"/>
  <c r="O161" i="13"/>
  <c r="O162" i="13"/>
  <c r="O163" i="13"/>
  <c r="O165" i="13"/>
  <c r="O168" i="13"/>
  <c r="O169" i="13"/>
  <c r="O170" i="13"/>
  <c r="O171" i="13"/>
  <c r="O174" i="13"/>
  <c r="O179" i="13"/>
  <c r="O186" i="13"/>
  <c r="O191" i="13"/>
  <c r="O192" i="13"/>
  <c r="O193" i="13"/>
  <c r="O197" i="13"/>
  <c r="O200" i="13"/>
  <c r="O203" i="13"/>
  <c r="O205" i="13"/>
  <c r="O208" i="13"/>
  <c r="O210" i="13"/>
  <c r="O212" i="13"/>
  <c r="O213" i="13"/>
  <c r="O214" i="13"/>
  <c r="O215" i="13"/>
  <c r="O219" i="13"/>
  <c r="O220" i="13"/>
  <c r="O224" i="13"/>
  <c r="O227" i="13"/>
  <c r="O230" i="13"/>
  <c r="O232" i="13"/>
  <c r="O235" i="13"/>
  <c r="O236" i="13"/>
  <c r="O239" i="13"/>
  <c r="O240" i="13"/>
  <c r="O241" i="13"/>
  <c r="O242" i="13"/>
  <c r="O244" i="13"/>
  <c r="O247" i="13"/>
  <c r="O248" i="13"/>
  <c r="O249" i="13"/>
  <c r="O250" i="13"/>
  <c r="O252" i="13"/>
  <c r="O255" i="13"/>
  <c r="O256" i="13"/>
  <c r="O257" i="13"/>
  <c r="O258" i="13"/>
  <c r="O260" i="13"/>
  <c r="O263" i="13"/>
  <c r="O264" i="13"/>
  <c r="O265" i="13"/>
  <c r="O266" i="13"/>
  <c r="O268" i="13"/>
  <c r="O271" i="13"/>
  <c r="O272" i="13"/>
  <c r="O273" i="13"/>
  <c r="O274" i="13"/>
  <c r="O276" i="13"/>
  <c r="O279" i="13"/>
  <c r="O280" i="13"/>
  <c r="O281" i="13"/>
  <c r="O282" i="13"/>
  <c r="O285" i="13"/>
  <c r="O286" i="13"/>
  <c r="O287" i="13"/>
  <c r="O288" i="13"/>
  <c r="O290" i="13"/>
  <c r="O293" i="13"/>
  <c r="O294" i="13"/>
  <c r="O295" i="13"/>
  <c r="O296" i="13"/>
  <c r="O299" i="13"/>
  <c r="O302" i="13"/>
  <c r="O304" i="13"/>
  <c r="O305" i="13"/>
  <c r="O306" i="13"/>
  <c r="O307" i="13"/>
  <c r="O308" i="13"/>
  <c r="O309" i="13"/>
  <c r="O310" i="13"/>
  <c r="O312" i="13"/>
  <c r="O313" i="13"/>
  <c r="O314" i="13"/>
  <c r="O315" i="13"/>
  <c r="O316" i="13"/>
  <c r="O317" i="13"/>
  <c r="O318" i="13"/>
  <c r="O320" i="13"/>
  <c r="O321" i="13"/>
  <c r="O322" i="13"/>
  <c r="O323" i="13"/>
  <c r="O324" i="13"/>
  <c r="O325" i="13"/>
  <c r="O326" i="13"/>
  <c r="O328" i="13"/>
  <c r="O329" i="13"/>
  <c r="O330" i="13"/>
  <c r="O331" i="13"/>
  <c r="O332" i="13"/>
  <c r="O335" i="13"/>
  <c r="O336" i="13"/>
  <c r="O337" i="13"/>
  <c r="O338" i="13"/>
  <c r="O339" i="13"/>
  <c r="O340" i="13"/>
  <c r="O343" i="13"/>
  <c r="O344" i="13"/>
  <c r="O345" i="13"/>
  <c r="O346" i="13"/>
  <c r="O347" i="13"/>
  <c r="O349" i="13"/>
  <c r="O350" i="13"/>
  <c r="O351" i="13"/>
  <c r="O352" i="13"/>
  <c r="O353" i="13"/>
  <c r="O354" i="13"/>
  <c r="O355" i="13"/>
  <c r="O356" i="13"/>
  <c r="O358" i="13"/>
  <c r="O359" i="13"/>
  <c r="O360" i="13"/>
  <c r="O361" i="13"/>
  <c r="O362" i="13"/>
  <c r="O363" i="13"/>
  <c r="O364" i="13"/>
  <c r="O366" i="13"/>
  <c r="O367" i="13"/>
  <c r="O368" i="13"/>
  <c r="O369" i="13"/>
  <c r="O370" i="13"/>
  <c r="O371" i="13"/>
  <c r="O372" i="13"/>
  <c r="O374" i="13"/>
  <c r="O375" i="13"/>
  <c r="O376" i="13"/>
  <c r="O377" i="13"/>
  <c r="O378" i="13"/>
  <c r="O379" i="13"/>
  <c r="O380" i="13"/>
  <c r="O381" i="13"/>
  <c r="O383" i="13"/>
  <c r="O384" i="13"/>
  <c r="O385" i="13"/>
  <c r="O386" i="13"/>
  <c r="O387" i="13"/>
  <c r="O388" i="13"/>
  <c r="O389" i="13"/>
  <c r="O391" i="13"/>
  <c r="O392" i="13"/>
  <c r="O393" i="13"/>
  <c r="O394" i="13"/>
  <c r="O395" i="13"/>
  <c r="O397" i="13"/>
  <c r="O399" i="13"/>
  <c r="O400" i="13"/>
  <c r="O401" i="13"/>
  <c r="O402" i="13"/>
  <c r="O403" i="13"/>
  <c r="O404" i="13"/>
  <c r="O405" i="13"/>
  <c r="O407" i="13"/>
  <c r="O409" i="13"/>
  <c r="O410" i="13"/>
  <c r="O411" i="13"/>
  <c r="O412" i="13"/>
  <c r="O413" i="13"/>
  <c r="O414" i="13"/>
  <c r="O415" i="13"/>
  <c r="O417" i="13"/>
  <c r="O418" i="13"/>
  <c r="O419" i="13"/>
  <c r="O420" i="13"/>
  <c r="O422" i="13"/>
  <c r="O424" i="13"/>
  <c r="O425" i="13"/>
  <c r="O426" i="13"/>
  <c r="O427" i="13"/>
  <c r="O428" i="13"/>
  <c r="O429" i="13"/>
  <c r="O430" i="13"/>
  <c r="O431" i="13"/>
  <c r="O432" i="13"/>
  <c r="O433" i="13"/>
  <c r="O434" i="13"/>
  <c r="O435" i="13"/>
  <c r="O436" i="13"/>
  <c r="O437" i="13"/>
  <c r="O438" i="13"/>
  <c r="O440" i="13"/>
  <c r="O441" i="13"/>
  <c r="O442" i="13"/>
  <c r="O443" i="13"/>
  <c r="O444" i="13"/>
  <c r="O445" i="13"/>
  <c r="O446" i="13"/>
  <c r="O448" i="13"/>
  <c r="O449" i="13"/>
  <c r="O450" i="13"/>
  <c r="O451" i="13"/>
  <c r="O452" i="13"/>
  <c r="O453" i="13"/>
  <c r="O454" i="13"/>
  <c r="O455" i="13"/>
  <c r="O457" i="13"/>
  <c r="O458" i="13"/>
  <c r="O459" i="13"/>
  <c r="O460" i="13"/>
  <c r="O461" i="13"/>
  <c r="O462" i="13"/>
  <c r="O463" i="13"/>
  <c r="O465" i="13"/>
  <c r="O466" i="13"/>
  <c r="O467" i="13"/>
  <c r="O468" i="13"/>
  <c r="O469" i="13"/>
  <c r="O470" i="13"/>
  <c r="O471" i="13"/>
  <c r="O472" i="13"/>
  <c r="O474" i="13"/>
  <c r="O475" i="13"/>
  <c r="O476" i="13"/>
  <c r="O477" i="13"/>
  <c r="O478" i="13"/>
  <c r="O479" i="13"/>
  <c r="O480" i="13"/>
  <c r="O482" i="13"/>
  <c r="O483" i="13"/>
  <c r="O484" i="13"/>
  <c r="O485" i="13"/>
  <c r="O486" i="13"/>
  <c r="O487" i="13"/>
  <c r="O488" i="13"/>
  <c r="O490" i="13"/>
  <c r="O491" i="13"/>
  <c r="O492" i="13"/>
  <c r="O493" i="13"/>
  <c r="O494" i="13"/>
  <c r="O495" i="13"/>
  <c r="O496" i="13"/>
  <c r="O498" i="13"/>
  <c r="O499" i="13"/>
  <c r="O500" i="13"/>
  <c r="O501" i="13"/>
  <c r="O502" i="13"/>
  <c r="O503" i="13"/>
  <c r="O504" i="13"/>
  <c r="O506" i="13"/>
  <c r="O507" i="13"/>
  <c r="O508" i="13"/>
  <c r="O509" i="13"/>
  <c r="O510" i="13"/>
  <c r="O511" i="13"/>
  <c r="O512" i="13"/>
  <c r="O514" i="13"/>
  <c r="O515" i="13"/>
  <c r="O516" i="13"/>
  <c r="O517" i="13"/>
  <c r="O518" i="13"/>
  <c r="O519" i="13"/>
  <c r="O521" i="13"/>
  <c r="O522" i="13"/>
  <c r="O523" i="13"/>
  <c r="O524" i="13"/>
  <c r="O525" i="13"/>
  <c r="O526" i="13"/>
  <c r="O527" i="13"/>
  <c r="O529" i="13"/>
  <c r="O530" i="13"/>
  <c r="O531" i="13"/>
  <c r="O532" i="13"/>
  <c r="O533" i="13"/>
  <c r="O534" i="13"/>
  <c r="O535" i="13"/>
  <c r="O538" i="13"/>
  <c r="O542" i="13"/>
  <c r="O543" i="13"/>
  <c r="O554" i="13"/>
  <c r="O555" i="13"/>
  <c r="O563" i="13"/>
  <c r="O6" i="13"/>
  <c r="O7" i="13"/>
  <c r="O5" i="13"/>
  <c r="I555" i="13"/>
  <c r="I556" i="13" s="1"/>
  <c r="D563" i="13" s="1"/>
  <c r="I31" i="13"/>
  <c r="O382" i="13" l="1"/>
  <c r="O348" i="13"/>
  <c r="O311" i="13"/>
  <c r="O327" i="13"/>
  <c r="O365" i="13"/>
  <c r="O390" i="13"/>
  <c r="O319" i="13"/>
  <c r="P319" i="13" s="1"/>
  <c r="O489" i="13"/>
  <c r="O373" i="13"/>
  <c r="O357" i="13"/>
  <c r="I537" i="13"/>
  <c r="D561" i="13" s="1"/>
  <c r="I552" i="13"/>
  <c r="D562" i="13" s="1"/>
  <c r="O439" i="13"/>
  <c r="O481" i="13"/>
  <c r="O536" i="13"/>
  <c r="O528" i="13"/>
  <c r="O520" i="13"/>
  <c r="O513" i="13"/>
  <c r="O505" i="13"/>
  <c r="O464" i="13"/>
  <c r="O456" i="13"/>
  <c r="O416" i="13"/>
  <c r="O473" i="13"/>
  <c r="O497" i="13"/>
  <c r="O447" i="13"/>
  <c r="O29" i="13"/>
  <c r="O37" i="13"/>
  <c r="O8" i="13"/>
  <c r="O41" i="13"/>
  <c r="O47" i="13"/>
  <c r="O24" i="13"/>
  <c r="O19" i="13"/>
  <c r="O13" i="13"/>
  <c r="O54" i="13"/>
  <c r="I62" i="13"/>
  <c r="N61" i="13"/>
  <c r="I61" i="13"/>
  <c r="N64" i="13" l="1"/>
  <c r="O61" i="13"/>
  <c r="O64" i="13" s="1"/>
  <c r="I64" i="13"/>
  <c r="E65" i="5"/>
  <c r="E62" i="5" s="1"/>
  <c r="E61" i="5"/>
  <c r="E58" i="5" s="1"/>
  <c r="E57" i="5"/>
  <c r="E54" i="5" s="1"/>
  <c r="E51" i="5"/>
  <c r="E48" i="5"/>
  <c r="E46" i="5" s="1"/>
  <c r="E45" i="5" s="1"/>
  <c r="E44" i="5"/>
  <c r="E43" i="5"/>
  <c r="E42" i="5"/>
  <c r="E41" i="5"/>
  <c r="E40" i="5"/>
  <c r="E39" i="5"/>
  <c r="E38" i="5"/>
  <c r="E35" i="5"/>
  <c r="E34" i="5"/>
  <c r="E33" i="5"/>
  <c r="E32" i="5"/>
  <c r="E31" i="5"/>
  <c r="E30" i="5"/>
  <c r="E29" i="5"/>
  <c r="E28" i="5"/>
  <c r="E50" i="5" l="1"/>
  <c r="E49" i="5" s="1"/>
  <c r="G563" i="13"/>
  <c r="E53" i="5"/>
  <c r="E37" i="5"/>
  <c r="E36" i="5" s="1"/>
  <c r="E27" i="5"/>
  <c r="E26" i="5" s="1"/>
  <c r="E66" i="5" l="1"/>
  <c r="E18" i="5" l="1"/>
  <c r="E17" i="5" s="1"/>
  <c r="N396" i="13" l="1"/>
  <c r="N421" i="13"/>
  <c r="N406" i="13"/>
  <c r="N341" i="13"/>
  <c r="N333" i="13"/>
  <c r="N234" i="13"/>
  <c r="O234" i="13" s="1"/>
  <c r="N218" i="13"/>
  <c r="O218" i="13" s="1"/>
  <c r="N207" i="13"/>
  <c r="O207" i="13" s="1"/>
  <c r="N190" i="13"/>
  <c r="O190" i="13" s="1"/>
  <c r="N189" i="13"/>
  <c r="O189" i="13" s="1"/>
  <c r="N184" i="13"/>
  <c r="O184" i="13" s="1"/>
  <c r="N183" i="13"/>
  <c r="O183" i="13" s="1"/>
  <c r="N182" i="13"/>
  <c r="O182" i="13" s="1"/>
  <c r="N178" i="13"/>
  <c r="O178" i="13" s="1"/>
  <c r="N176" i="13"/>
  <c r="O176" i="13" s="1"/>
  <c r="N175" i="13"/>
  <c r="O175" i="13" s="1"/>
  <c r="N298" i="13"/>
  <c r="N550" i="13"/>
  <c r="N551" i="13" s="1"/>
  <c r="N547" i="13"/>
  <c r="O547" i="13" s="1"/>
  <c r="N546" i="13"/>
  <c r="N548" i="13" s="1"/>
  <c r="N541" i="13"/>
  <c r="O541" i="13" s="1"/>
  <c r="N540" i="13"/>
  <c r="O540" i="13" l="1"/>
  <c r="O544" i="13" s="1"/>
  <c r="N544" i="13"/>
  <c r="N552" i="13" s="1"/>
  <c r="N562" i="13" s="1"/>
  <c r="O550" i="13"/>
  <c r="O551" i="13" s="1"/>
  <c r="O546" i="13"/>
  <c r="O548" i="13" s="1"/>
  <c r="O421" i="13"/>
  <c r="O423" i="13" s="1"/>
  <c r="N423" i="13"/>
  <c r="O406" i="13"/>
  <c r="O408" i="13" s="1"/>
  <c r="N408" i="13"/>
  <c r="O298" i="13"/>
  <c r="O300" i="13" s="1"/>
  <c r="N300" i="13"/>
  <c r="O333" i="13"/>
  <c r="O334" i="13" s="1"/>
  <c r="N334" i="13"/>
  <c r="O396" i="13"/>
  <c r="O398" i="13" s="1"/>
  <c r="N398" i="13"/>
  <c r="O341" i="13"/>
  <c r="O342" i="13" s="1"/>
  <c r="N342" i="13"/>
  <c r="I299" i="13"/>
  <c r="I298" i="13"/>
  <c r="O552" i="13" l="1"/>
  <c r="O562" i="13" s="1"/>
  <c r="I300" i="13"/>
  <c r="O537" i="13"/>
  <c r="O561" i="13" s="1"/>
  <c r="N537" i="13"/>
  <c r="N561" i="13" s="1"/>
  <c r="G561" i="13" l="1"/>
  <c r="I73" i="13" l="1"/>
  <c r="I74" i="13"/>
  <c r="F77" i="13"/>
  <c r="I77" i="13" s="1"/>
  <c r="F78" i="13"/>
  <c r="I78" i="13" s="1"/>
  <c r="N78" i="13" s="1"/>
  <c r="O78" i="13" s="1"/>
  <c r="I80" i="13"/>
  <c r="N80" i="13" s="1"/>
  <c r="O80" i="13" s="1"/>
  <c r="I81" i="13"/>
  <c r="N81" i="13" s="1"/>
  <c r="O81" i="13" s="1"/>
  <c r="I82" i="13"/>
  <c r="I83" i="13"/>
  <c r="I84" i="13"/>
  <c r="I85" i="13"/>
  <c r="I89" i="13"/>
  <c r="I90" i="13"/>
  <c r="I92" i="13"/>
  <c r="N92" i="13" s="1"/>
  <c r="I93" i="13"/>
  <c r="N93" i="13" s="1"/>
  <c r="O93" i="13" s="1"/>
  <c r="I94" i="13"/>
  <c r="N94" i="13" s="1"/>
  <c r="O94" i="13" s="1"/>
  <c r="I95" i="13"/>
  <c r="I96" i="13"/>
  <c r="N96" i="13" s="1"/>
  <c r="O96" i="13" s="1"/>
  <c r="I97" i="13"/>
  <c r="N97" i="13" s="1"/>
  <c r="O97" i="13" s="1"/>
  <c r="F98" i="13"/>
  <c r="I98" i="13" s="1"/>
  <c r="I99" i="13"/>
  <c r="N99" i="13" s="1"/>
  <c r="O99" i="13" s="1"/>
  <c r="I100" i="13"/>
  <c r="N100" i="13" s="1"/>
  <c r="O100" i="13" s="1"/>
  <c r="I101" i="13"/>
  <c r="I102" i="13"/>
  <c r="I103" i="13"/>
  <c r="I104" i="13"/>
  <c r="N104" i="13" s="1"/>
  <c r="O104" i="13" s="1"/>
  <c r="I105" i="13"/>
  <c r="I107" i="13"/>
  <c r="N107" i="13" s="1"/>
  <c r="O107" i="13" s="1"/>
  <c r="I108" i="13"/>
  <c r="N108" i="13" s="1"/>
  <c r="O108" i="13" s="1"/>
  <c r="I109" i="13"/>
  <c r="I110" i="13"/>
  <c r="I111" i="13"/>
  <c r="I112" i="13"/>
  <c r="I113" i="13"/>
  <c r="I116" i="13"/>
  <c r="I117" i="13"/>
  <c r="F120" i="13"/>
  <c r="I120" i="13" s="1"/>
  <c r="F121" i="13"/>
  <c r="I121" i="13" s="1"/>
  <c r="N121" i="13" s="1"/>
  <c r="I123" i="13"/>
  <c r="N123" i="13" s="1"/>
  <c r="O123" i="13" s="1"/>
  <c r="I124" i="13"/>
  <c r="N124" i="13" s="1"/>
  <c r="O124" i="13" s="1"/>
  <c r="I125" i="13"/>
  <c r="I126" i="13"/>
  <c r="I127" i="13"/>
  <c r="I128" i="13"/>
  <c r="I131" i="13"/>
  <c r="I133" i="13"/>
  <c r="N133" i="13" s="1"/>
  <c r="O133" i="13" s="1"/>
  <c r="I134" i="13"/>
  <c r="N134" i="13" s="1"/>
  <c r="O134" i="13" s="1"/>
  <c r="I135" i="13"/>
  <c r="N135" i="13" s="1"/>
  <c r="O135" i="13" s="1"/>
  <c r="I136" i="13"/>
  <c r="I137" i="13"/>
  <c r="N137" i="13" s="1"/>
  <c r="O137" i="13" s="1"/>
  <c r="I138" i="13"/>
  <c r="N138" i="13" s="1"/>
  <c r="O138" i="13" s="1"/>
  <c r="F139" i="13"/>
  <c r="I139" i="13" s="1"/>
  <c r="I140" i="13"/>
  <c r="N140" i="13" s="1"/>
  <c r="O140" i="13" s="1"/>
  <c r="I141" i="13"/>
  <c r="N141" i="13" s="1"/>
  <c r="O141" i="13" s="1"/>
  <c r="I142" i="13"/>
  <c r="I143" i="13"/>
  <c r="N143" i="13" s="1"/>
  <c r="O143" i="13" s="1"/>
  <c r="I144" i="13"/>
  <c r="I145" i="13"/>
  <c r="N145" i="13" s="1"/>
  <c r="O145" i="13" s="1"/>
  <c r="I146" i="13"/>
  <c r="I148" i="13"/>
  <c r="N148" i="13" s="1"/>
  <c r="O148" i="13" s="1"/>
  <c r="I149" i="13"/>
  <c r="N149" i="13" s="1"/>
  <c r="O149" i="13" s="1"/>
  <c r="I150" i="13"/>
  <c r="N150" i="13" s="1"/>
  <c r="O150" i="13" s="1"/>
  <c r="I151" i="13"/>
  <c r="I152" i="13"/>
  <c r="I153" i="13"/>
  <c r="I154" i="13"/>
  <c r="I155" i="13"/>
  <c r="I156" i="13"/>
  <c r="I159" i="13"/>
  <c r="I160" i="13"/>
  <c r="F163" i="13"/>
  <c r="I163" i="13" s="1"/>
  <c r="F164" i="13"/>
  <c r="I164" i="13" s="1"/>
  <c r="I166" i="13"/>
  <c r="N166" i="13" s="1"/>
  <c r="O166" i="13" s="1"/>
  <c r="I167" i="13"/>
  <c r="N167" i="13" s="1"/>
  <c r="O167" i="13" s="1"/>
  <c r="I168" i="13"/>
  <c r="I169" i="13"/>
  <c r="I170" i="13"/>
  <c r="I171" i="13"/>
  <c r="I175" i="13"/>
  <c r="I176" i="13"/>
  <c r="I177" i="13"/>
  <c r="N177" i="13" s="1"/>
  <c r="O177" i="13" s="1"/>
  <c r="I178" i="13"/>
  <c r="I179" i="13"/>
  <c r="I183" i="13"/>
  <c r="I184" i="13"/>
  <c r="I185" i="13"/>
  <c r="I186" i="13"/>
  <c r="I189" i="13"/>
  <c r="I190" i="13"/>
  <c r="I191" i="13"/>
  <c r="I192" i="13"/>
  <c r="I194" i="13"/>
  <c r="N194" i="13" s="1"/>
  <c r="O194" i="13" s="1"/>
  <c r="I195" i="13"/>
  <c r="N195" i="13" s="1"/>
  <c r="O195" i="13" s="1"/>
  <c r="I196" i="13"/>
  <c r="N196" i="13" s="1"/>
  <c r="O196" i="13" s="1"/>
  <c r="I197" i="13"/>
  <c r="I198" i="13"/>
  <c r="N198" i="13" s="1"/>
  <c r="O198" i="13" s="1"/>
  <c r="I199" i="13"/>
  <c r="N199" i="13" s="1"/>
  <c r="O199" i="13" s="1"/>
  <c r="F200" i="13"/>
  <c r="I200" i="13" s="1"/>
  <c r="I201" i="13"/>
  <c r="N201" i="13" s="1"/>
  <c r="O201" i="13" s="1"/>
  <c r="I202" i="13"/>
  <c r="N202" i="13" s="1"/>
  <c r="O202" i="13" s="1"/>
  <c r="I203" i="13"/>
  <c r="I204" i="13"/>
  <c r="N204" i="13" s="1"/>
  <c r="O204" i="13" s="1"/>
  <c r="I205" i="13"/>
  <c r="I206" i="13"/>
  <c r="I207" i="13"/>
  <c r="I209" i="13"/>
  <c r="N209" i="13" s="1"/>
  <c r="O209" i="13" s="1"/>
  <c r="F210" i="13"/>
  <c r="I210" i="13" s="1"/>
  <c r="F211" i="13"/>
  <c r="I211" i="13" s="1"/>
  <c r="N211" i="13" s="1"/>
  <c r="O211" i="13" s="1"/>
  <c r="I212" i="13"/>
  <c r="I213" i="13"/>
  <c r="I214" i="13"/>
  <c r="I215" i="13"/>
  <c r="I218" i="13"/>
  <c r="I221" i="13"/>
  <c r="N221" i="13" s="1"/>
  <c r="O221" i="13" s="1"/>
  <c r="I222" i="13"/>
  <c r="N222" i="13" s="1"/>
  <c r="O222" i="13" s="1"/>
  <c r="I223" i="13"/>
  <c r="N223" i="13" s="1"/>
  <c r="O223" i="13" s="1"/>
  <c r="I224" i="13"/>
  <c r="I225" i="13"/>
  <c r="N225" i="13" s="1"/>
  <c r="O225" i="13" s="1"/>
  <c r="I226" i="13"/>
  <c r="N226" i="13" s="1"/>
  <c r="O226" i="13" s="1"/>
  <c r="F227" i="13"/>
  <c r="I227" i="13" s="1"/>
  <c r="I228" i="13"/>
  <c r="N228" i="13" s="1"/>
  <c r="O228" i="13" s="1"/>
  <c r="I229" i="13"/>
  <c r="N229" i="13" s="1"/>
  <c r="O229" i="13" s="1"/>
  <c r="I230" i="13"/>
  <c r="I231" i="13"/>
  <c r="N231" i="13" s="1"/>
  <c r="O231" i="13" s="1"/>
  <c r="I232" i="13"/>
  <c r="I233" i="13"/>
  <c r="N233" i="13" s="1"/>
  <c r="O233" i="13" s="1"/>
  <c r="I234" i="13"/>
  <c r="I235" i="13"/>
  <c r="I236" i="13"/>
  <c r="I239" i="13"/>
  <c r="I240" i="13"/>
  <c r="F242" i="13"/>
  <c r="I242" i="13" s="1"/>
  <c r="F243" i="13"/>
  <c r="I243" i="13" s="1"/>
  <c r="N243" i="13" s="1"/>
  <c r="O243" i="13" s="1"/>
  <c r="I244" i="13"/>
  <c r="I247" i="13"/>
  <c r="I248" i="13"/>
  <c r="F250" i="13"/>
  <c r="I250" i="13" s="1"/>
  <c r="F251" i="13"/>
  <c r="I251" i="13" s="1"/>
  <c r="N251" i="13" s="1"/>
  <c r="O251" i="13" s="1"/>
  <c r="I252" i="13"/>
  <c r="I255" i="13"/>
  <c r="I256" i="13"/>
  <c r="F258" i="13"/>
  <c r="I258" i="13" s="1"/>
  <c r="F259" i="13"/>
  <c r="I259" i="13" s="1"/>
  <c r="N259" i="13" s="1"/>
  <c r="O259" i="13" s="1"/>
  <c r="I260" i="13"/>
  <c r="I263" i="13"/>
  <c r="I264" i="13"/>
  <c r="F266" i="13"/>
  <c r="I266" i="13" s="1"/>
  <c r="F267" i="13"/>
  <c r="I267" i="13" s="1"/>
  <c r="N267" i="13" s="1"/>
  <c r="O267" i="13" s="1"/>
  <c r="I268" i="13"/>
  <c r="I271" i="13"/>
  <c r="I272" i="13"/>
  <c r="F274" i="13"/>
  <c r="I274" i="13" s="1"/>
  <c r="F275" i="13"/>
  <c r="I275" i="13" s="1"/>
  <c r="I277" i="13"/>
  <c r="N277" i="13" s="1"/>
  <c r="O277" i="13" s="1"/>
  <c r="I278" i="13"/>
  <c r="N278" i="13" s="1"/>
  <c r="O278" i="13" s="1"/>
  <c r="I279" i="13"/>
  <c r="I280" i="13"/>
  <c r="I281" i="13"/>
  <c r="I282" i="13"/>
  <c r="I285" i="13"/>
  <c r="I286" i="13"/>
  <c r="F288" i="13"/>
  <c r="I288" i="13" s="1"/>
  <c r="F289" i="13"/>
  <c r="I289" i="13" s="1"/>
  <c r="N289" i="13" s="1"/>
  <c r="I291" i="13"/>
  <c r="N291" i="13" s="1"/>
  <c r="O291" i="13" s="1"/>
  <c r="I292" i="13"/>
  <c r="N292" i="13" s="1"/>
  <c r="O292" i="13" s="1"/>
  <c r="I293" i="13"/>
  <c r="I294" i="13"/>
  <c r="I295" i="13"/>
  <c r="I296" i="13"/>
  <c r="O102" i="13" l="1"/>
  <c r="N102" i="13"/>
  <c r="O92" i="13"/>
  <c r="N114" i="13"/>
  <c r="N297" i="13"/>
  <c r="O297" i="13" s="1"/>
  <c r="O289" i="13"/>
  <c r="N206" i="13"/>
  <c r="O206" i="13" s="1"/>
  <c r="I157" i="13"/>
  <c r="I187" i="13"/>
  <c r="I180" i="13"/>
  <c r="I253" i="13"/>
  <c r="I216" i="13"/>
  <c r="I129" i="13"/>
  <c r="I114" i="13"/>
  <c r="I269" i="13"/>
  <c r="I297" i="13"/>
  <c r="N275" i="13"/>
  <c r="O275" i="13" s="1"/>
  <c r="I283" i="13"/>
  <c r="N164" i="13"/>
  <c r="O164" i="13" s="1"/>
  <c r="I172" i="13"/>
  <c r="I237" i="13"/>
  <c r="N180" i="13"/>
  <c r="O180" i="13" s="1"/>
  <c r="N269" i="13"/>
  <c r="O269" i="13" s="1"/>
  <c r="O114" i="13"/>
  <c r="I86" i="13"/>
  <c r="N185" i="13"/>
  <c r="O185" i="13" s="1"/>
  <c r="N261" i="13"/>
  <c r="O261" i="13" s="1"/>
  <c r="N245" i="13"/>
  <c r="O245" i="13" s="1"/>
  <c r="I261" i="13"/>
  <c r="N253" i="13"/>
  <c r="O253" i="13" s="1"/>
  <c r="I245" i="13"/>
  <c r="N237" i="13"/>
  <c r="O237" i="13" s="1"/>
  <c r="N157" i="13"/>
  <c r="O157" i="13" s="1"/>
  <c r="O121" i="13"/>
  <c r="N86" i="13"/>
  <c r="O86" i="13" l="1"/>
  <c r="I301" i="13"/>
  <c r="D560" i="13" s="1"/>
  <c r="N216" i="13"/>
  <c r="O216" i="13" s="1"/>
  <c r="N187" i="13"/>
  <c r="O187" i="13" s="1"/>
  <c r="N283" i="13"/>
  <c r="O283" i="13" s="1"/>
  <c r="N172" i="13"/>
  <c r="O172" i="13" s="1"/>
  <c r="N129" i="13"/>
  <c r="O129" i="13" s="1"/>
  <c r="O301" i="13" l="1"/>
  <c r="O560" i="13" s="1"/>
  <c r="N301" i="13"/>
  <c r="N560" i="13" s="1"/>
  <c r="G560" i="13"/>
  <c r="N54" i="13"/>
  <c r="I53" i="13"/>
  <c r="E21" i="5" s="1"/>
  <c r="E20" i="5" s="1"/>
  <c r="I52" i="13"/>
  <c r="I51" i="13"/>
  <c r="I50" i="13"/>
  <c r="I49" i="13"/>
  <c r="N56" i="13"/>
  <c r="O56" i="13" s="1"/>
  <c r="O59" i="13" s="1"/>
  <c r="N47" i="13"/>
  <c r="N41" i="13"/>
  <c r="N37" i="13"/>
  <c r="N31" i="13"/>
  <c r="O31" i="13" s="1"/>
  <c r="O33" i="13" s="1"/>
  <c r="O69" i="13" s="1"/>
  <c r="O559" i="13" s="1"/>
  <c r="N24" i="13"/>
  <c r="N13" i="13"/>
  <c r="I54" i="13" l="1"/>
  <c r="N59" i="13"/>
  <c r="N33" i="13"/>
  <c r="G562" i="13" l="1"/>
  <c r="I66" i="13"/>
  <c r="I68" i="13" s="1"/>
  <c r="I45" i="13"/>
  <c r="E11" i="5" s="1"/>
  <c r="E10" i="5" s="1"/>
  <c r="E9" i="5" s="1"/>
  <c r="N68" i="13" l="1"/>
  <c r="I57" i="13"/>
  <c r="I56" i="13"/>
  <c r="I44" i="13"/>
  <c r="I43" i="13"/>
  <c r="I39" i="13"/>
  <c r="I41" i="13" s="1"/>
  <c r="I36" i="13"/>
  <c r="I35" i="13"/>
  <c r="I32" i="13"/>
  <c r="N29" i="13"/>
  <c r="I27" i="13"/>
  <c r="I26" i="13"/>
  <c r="I22" i="13"/>
  <c r="I21" i="13"/>
  <c r="I16" i="13"/>
  <c r="I15" i="13"/>
  <c r="I11" i="13"/>
  <c r="I10" i="13"/>
  <c r="I6" i="13"/>
  <c r="I5" i="13"/>
  <c r="I59" i="13" l="1"/>
  <c r="N69" i="13"/>
  <c r="N559" i="13" s="1"/>
  <c r="I24" i="13"/>
  <c r="I29" i="13"/>
  <c r="E4" i="5"/>
  <c r="E12" i="5"/>
  <c r="I8" i="13"/>
  <c r="I13" i="13"/>
  <c r="I19" i="13"/>
  <c r="I33" i="13"/>
  <c r="I37" i="13"/>
  <c r="I47" i="13"/>
  <c r="I69" i="13" l="1"/>
  <c r="D559" i="13" s="1"/>
  <c r="D564" i="13" s="1"/>
  <c r="O564" i="13" l="1"/>
  <c r="N564" i="13"/>
  <c r="G559" i="13" l="1"/>
  <c r="C118" i="14" l="1"/>
  <c r="N19" i="14"/>
  <c r="D13" i="14"/>
  <c r="C72" i="14"/>
  <c r="H95" i="14"/>
  <c r="C97" i="14"/>
  <c r="P97" i="14" s="1"/>
  <c r="C98" i="14"/>
  <c r="P98" i="14" s="1"/>
  <c r="C99" i="14"/>
  <c r="P99" i="14" s="1"/>
  <c r="C100" i="14"/>
  <c r="P100" i="14" s="1"/>
  <c r="C96" i="14"/>
  <c r="C95" i="14" s="1"/>
  <c r="C90" i="14"/>
  <c r="C91" i="14"/>
  <c r="C92" i="14"/>
  <c r="P92" i="14" s="1"/>
  <c r="C93" i="14"/>
  <c r="P93" i="14" s="1"/>
  <c r="C94" i="14"/>
  <c r="C89" i="14"/>
  <c r="P89" i="14" s="1"/>
  <c r="P90" i="14"/>
  <c r="P91" i="14"/>
  <c r="P94" i="14"/>
  <c r="C73" i="14"/>
  <c r="C74" i="14"/>
  <c r="C75" i="14"/>
  <c r="C76" i="14"/>
  <c r="P76" i="14" s="1"/>
  <c r="C68" i="14"/>
  <c r="C69" i="14"/>
  <c r="C70" i="14"/>
  <c r="C67" i="14"/>
  <c r="D71" i="14"/>
  <c r="D116" i="14" s="1"/>
  <c r="E71" i="14"/>
  <c r="E116" i="14" s="1"/>
  <c r="F71" i="14"/>
  <c r="F116" i="14" s="1"/>
  <c r="G71" i="14"/>
  <c r="H71" i="14"/>
  <c r="H116" i="14" s="1"/>
  <c r="I71" i="14"/>
  <c r="J71" i="14"/>
  <c r="K71" i="14"/>
  <c r="L71" i="14"/>
  <c r="M71" i="14"/>
  <c r="N71" i="14"/>
  <c r="O71" i="14"/>
  <c r="D66" i="14"/>
  <c r="D65" i="14" s="1"/>
  <c r="E66" i="14"/>
  <c r="E65" i="14" s="1"/>
  <c r="F66" i="14"/>
  <c r="F65" i="14" s="1"/>
  <c r="G66" i="14"/>
  <c r="G65" i="14" s="1"/>
  <c r="H66" i="14"/>
  <c r="H65" i="14" s="1"/>
  <c r="I66" i="14"/>
  <c r="I65" i="14" s="1"/>
  <c r="J66" i="14"/>
  <c r="J65" i="14" s="1"/>
  <c r="K66" i="14"/>
  <c r="K65" i="14" s="1"/>
  <c r="L66" i="14"/>
  <c r="L65" i="14" s="1"/>
  <c r="M66" i="14"/>
  <c r="M65" i="14" s="1"/>
  <c r="N66" i="14"/>
  <c r="N65" i="14" s="1"/>
  <c r="O66" i="14"/>
  <c r="O65" i="14" s="1"/>
  <c r="P96" i="14" l="1"/>
  <c r="P48" i="14"/>
  <c r="E12" i="14"/>
  <c r="K19" i="14"/>
  <c r="L19" i="14" s="1"/>
  <c r="F13" i="14"/>
  <c r="N13" i="14" s="1"/>
  <c r="D12" i="14"/>
  <c r="H13" i="14" l="1"/>
  <c r="C13" i="14" s="1"/>
  <c r="L13" i="14"/>
  <c r="I13" i="14"/>
  <c r="M13" i="14"/>
  <c r="K13" i="14"/>
  <c r="O13" i="14"/>
  <c r="J13" i="14"/>
  <c r="O95" i="14" l="1"/>
  <c r="O116" i="14" s="1"/>
  <c r="N95" i="14"/>
  <c r="N116" i="14" s="1"/>
  <c r="M95" i="14"/>
  <c r="M116" i="14" s="1"/>
  <c r="L95" i="14"/>
  <c r="L116" i="14" s="1"/>
  <c r="K95" i="14"/>
  <c r="K116" i="14" s="1"/>
  <c r="J95" i="14"/>
  <c r="J116" i="14" s="1"/>
  <c r="I95" i="14"/>
  <c r="I116" i="14" s="1"/>
  <c r="G95" i="14"/>
  <c r="O88" i="14"/>
  <c r="N88" i="14"/>
  <c r="N87" i="14" s="1"/>
  <c r="M88" i="14"/>
  <c r="L88" i="14"/>
  <c r="K88" i="14"/>
  <c r="J88" i="14"/>
  <c r="I88" i="14"/>
  <c r="H88" i="14"/>
  <c r="G88" i="14"/>
  <c r="F88" i="14"/>
  <c r="F87" i="14" s="1"/>
  <c r="E88" i="14"/>
  <c r="E87" i="14" s="1"/>
  <c r="D88" i="14"/>
  <c r="G52" i="14"/>
  <c r="H52" i="14"/>
  <c r="I52" i="14"/>
  <c r="J52" i="14"/>
  <c r="K52" i="14"/>
  <c r="L52" i="14"/>
  <c r="M52" i="14"/>
  <c r="N52" i="14"/>
  <c r="O52" i="14"/>
  <c r="C51" i="14"/>
  <c r="M51" i="14" s="1"/>
  <c r="O50" i="14"/>
  <c r="N50" i="14"/>
  <c r="M50" i="14"/>
  <c r="L50" i="14"/>
  <c r="K50" i="14"/>
  <c r="J50" i="14"/>
  <c r="I50" i="14"/>
  <c r="H50" i="14"/>
  <c r="G50" i="14"/>
  <c r="F50" i="14"/>
  <c r="E50" i="14"/>
  <c r="D50" i="14"/>
  <c r="C50" i="14"/>
  <c r="O49" i="14"/>
  <c r="N49" i="14"/>
  <c r="M49" i="14"/>
  <c r="L49" i="14"/>
  <c r="K49" i="14"/>
  <c r="J49" i="14"/>
  <c r="I49" i="14"/>
  <c r="H49" i="14"/>
  <c r="G49" i="14"/>
  <c r="C49" i="14"/>
  <c r="C47" i="14"/>
  <c r="G47" i="14" s="1"/>
  <c r="C46" i="14"/>
  <c r="G46" i="14" s="1"/>
  <c r="C45" i="14"/>
  <c r="J45" i="14" s="1"/>
  <c r="C44" i="14"/>
  <c r="K44" i="14" s="1"/>
  <c r="C43" i="14"/>
  <c r="P43" i="14" s="1"/>
  <c r="C42" i="14"/>
  <c r="M42" i="14" s="1"/>
  <c r="C41" i="14"/>
  <c r="J41" i="14" s="1"/>
  <c r="C40" i="14"/>
  <c r="C39" i="14" s="1"/>
  <c r="C38" i="14" s="1"/>
  <c r="G116" i="14" l="1"/>
  <c r="P95" i="14"/>
  <c r="P50" i="14"/>
  <c r="P40" i="14"/>
  <c r="P49" i="14"/>
  <c r="P52" i="14"/>
  <c r="H87" i="14"/>
  <c r="L87" i="14"/>
  <c r="I87" i="14"/>
  <c r="M87" i="14"/>
  <c r="C88" i="14"/>
  <c r="G87" i="14"/>
  <c r="K87" i="14"/>
  <c r="O87" i="14"/>
  <c r="H47" i="14"/>
  <c r="P47" i="14" s="1"/>
  <c r="J87" i="14"/>
  <c r="D87" i="14"/>
  <c r="F46" i="14"/>
  <c r="L42" i="14"/>
  <c r="L39" i="14" s="1"/>
  <c r="J44" i="14"/>
  <c r="J39" i="14" s="1"/>
  <c r="L51" i="14"/>
  <c r="I44" i="14"/>
  <c r="I45" i="14"/>
  <c r="H51" i="14"/>
  <c r="H44" i="14"/>
  <c r="H45" i="14"/>
  <c r="O46" i="14"/>
  <c r="D51" i="14"/>
  <c r="D39" i="14" s="1"/>
  <c r="D117" i="14" s="1"/>
  <c r="D115" i="14" s="1"/>
  <c r="I41" i="14"/>
  <c r="H41" i="14"/>
  <c r="O42" i="14"/>
  <c r="O39" i="14" s="1"/>
  <c r="N46" i="14"/>
  <c r="G51" i="14"/>
  <c r="K51" i="14"/>
  <c r="O51" i="14"/>
  <c r="G41" i="14"/>
  <c r="K41" i="14"/>
  <c r="N42" i="14"/>
  <c r="K45" i="14"/>
  <c r="M46" i="14"/>
  <c r="M39" i="14" s="1"/>
  <c r="F51" i="14"/>
  <c r="J51" i="14"/>
  <c r="N51" i="14"/>
  <c r="F41" i="14"/>
  <c r="F39" i="14" s="1"/>
  <c r="E51" i="14"/>
  <c r="E39" i="14" s="1"/>
  <c r="I51" i="14"/>
  <c r="E117" i="14" l="1"/>
  <c r="E115" i="14" s="1"/>
  <c r="E38" i="14"/>
  <c r="P88" i="14"/>
  <c r="C87" i="14"/>
  <c r="P87" i="14" s="1"/>
  <c r="N39" i="14"/>
  <c r="H39" i="14"/>
  <c r="K39" i="14"/>
  <c r="I39" i="14"/>
  <c r="C116" i="14"/>
  <c r="M38" i="14"/>
  <c r="G39" i="14"/>
  <c r="G38" i="14" s="1"/>
  <c r="J38" i="14"/>
  <c r="K38" i="14"/>
  <c r="I38" i="14"/>
  <c r="D38" i="14"/>
  <c r="P41" i="14"/>
  <c r="F38" i="14"/>
  <c r="N38" i="14"/>
  <c r="H38" i="14"/>
  <c r="P45" i="14"/>
  <c r="P46" i="14"/>
  <c r="P51" i="14"/>
  <c r="L38" i="14"/>
  <c r="P42" i="14"/>
  <c r="P44" i="14"/>
  <c r="O38" i="14"/>
  <c r="P39" i="14" l="1"/>
  <c r="P38" i="14"/>
  <c r="H45" i="12" l="1"/>
  <c r="G45" i="12"/>
  <c r="F45" i="12"/>
  <c r="E45" i="12"/>
  <c r="I45" i="12" s="1"/>
  <c r="H44" i="12"/>
  <c r="G44" i="12"/>
  <c r="F44" i="12"/>
  <c r="E44" i="12"/>
  <c r="I44" i="12" s="1"/>
  <c r="H43" i="12"/>
  <c r="G43" i="12"/>
  <c r="F43" i="12"/>
  <c r="E43" i="12"/>
  <c r="I43" i="12" s="1"/>
  <c r="H42" i="12"/>
  <c r="G42" i="12"/>
  <c r="F42" i="12"/>
  <c r="E42" i="12"/>
  <c r="E46" i="12" s="1"/>
  <c r="H41" i="12"/>
  <c r="H46" i="12" s="1"/>
  <c r="G41" i="12"/>
  <c r="G46" i="12" s="1"/>
  <c r="F41" i="12"/>
  <c r="F46" i="12" s="1"/>
  <c r="E41" i="12"/>
  <c r="I41" i="12" s="1"/>
  <c r="H22" i="12"/>
  <c r="G22" i="12"/>
  <c r="H21" i="12"/>
  <c r="G21" i="12"/>
  <c r="F21" i="12"/>
  <c r="F22" i="12" s="1"/>
  <c r="E21" i="12"/>
  <c r="E22" i="12" s="1"/>
  <c r="D21" i="12"/>
  <c r="I20" i="12"/>
  <c r="I19" i="12"/>
  <c r="I18" i="12"/>
  <c r="I21" i="12" s="1"/>
  <c r="I17" i="12"/>
  <c r="I16" i="12"/>
  <c r="H10" i="12"/>
  <c r="G10" i="12"/>
  <c r="H9" i="12"/>
  <c r="G9" i="12"/>
  <c r="F9" i="12"/>
  <c r="F10" i="12" s="1"/>
  <c r="E9" i="12"/>
  <c r="E10" i="12" s="1"/>
  <c r="I10" i="12" s="1"/>
  <c r="D9" i="12"/>
  <c r="I8" i="12"/>
  <c r="I7" i="12"/>
  <c r="I6" i="12"/>
  <c r="I9" i="12" s="1"/>
  <c r="I5" i="12"/>
  <c r="I4" i="12"/>
  <c r="BQ71" i="18"/>
  <c r="BP71" i="18"/>
  <c r="BN71" i="18"/>
  <c r="BM71" i="18"/>
  <c r="BK71" i="18"/>
  <c r="BO70" i="18"/>
  <c r="BL70" i="18"/>
  <c r="BI70" i="18"/>
  <c r="BO69" i="18"/>
  <c r="BI69" i="18"/>
  <c r="BL69" i="18" s="1"/>
  <c r="BO68" i="18"/>
  <c r="BI68" i="18"/>
  <c r="BL68" i="18" s="1"/>
  <c r="BO67" i="18"/>
  <c r="BL67" i="18"/>
  <c r="BI67" i="18"/>
  <c r="BO66" i="18"/>
  <c r="BI66" i="18"/>
  <c r="BL66" i="18" s="1"/>
  <c r="BO65" i="18"/>
  <c r="BI65" i="18"/>
  <c r="BL65" i="18" s="1"/>
  <c r="BO64" i="18"/>
  <c r="BI64" i="18"/>
  <c r="BL64" i="18" s="1"/>
  <c r="BO63" i="18"/>
  <c r="BL63" i="18"/>
  <c r="BI63" i="18"/>
  <c r="BO62" i="18"/>
  <c r="BI62" i="18"/>
  <c r="BL62" i="18" s="1"/>
  <c r="BO61" i="18"/>
  <c r="BI61" i="18"/>
  <c r="BL61" i="18" s="1"/>
  <c r="BO60" i="18"/>
  <c r="BI60" i="18"/>
  <c r="BL60" i="18" s="1"/>
  <c r="BO59" i="18"/>
  <c r="BL59" i="18"/>
  <c r="BO58" i="18"/>
  <c r="BI58" i="18"/>
  <c r="BL58" i="18" s="1"/>
  <c r="BO57" i="18"/>
  <c r="BI57" i="18"/>
  <c r="BL57" i="18" s="1"/>
  <c r="BO56" i="18"/>
  <c r="BL56" i="18"/>
  <c r="BO55" i="18"/>
  <c r="BL55" i="18"/>
  <c r="BO54" i="18"/>
  <c r="BL54" i="18"/>
  <c r="BI54" i="18"/>
  <c r="BO53" i="18"/>
  <c r="BI53" i="18"/>
  <c r="BL53" i="18" s="1"/>
  <c r="BO52" i="18"/>
  <c r="BI52" i="18"/>
  <c r="BL52" i="18" s="1"/>
  <c r="BO51" i="18"/>
  <c r="BI51" i="18"/>
  <c r="BL51" i="18" s="1"/>
  <c r="BO50" i="18"/>
  <c r="BL50" i="18"/>
  <c r="BI50" i="18"/>
  <c r="BO49" i="18"/>
  <c r="BI49" i="18"/>
  <c r="BL49" i="18" s="1"/>
  <c r="BO48" i="18"/>
  <c r="BI48" i="18"/>
  <c r="BL48" i="18" s="1"/>
  <c r="BO47" i="18"/>
  <c r="BL47" i="18"/>
  <c r="BO46" i="18"/>
  <c r="BI46" i="18"/>
  <c r="BL46" i="18" s="1"/>
  <c r="BO45" i="18"/>
  <c r="BI45" i="18"/>
  <c r="BL45" i="18" s="1"/>
  <c r="BO44" i="18"/>
  <c r="BI44" i="18"/>
  <c r="BL44" i="18" s="1"/>
  <c r="BO43" i="18"/>
  <c r="BL43" i="18"/>
  <c r="BI43" i="18"/>
  <c r="BO42" i="18"/>
  <c r="BL42" i="18"/>
  <c r="BO41" i="18"/>
  <c r="BI41" i="18"/>
  <c r="BL41" i="18" s="1"/>
  <c r="BO40" i="18"/>
  <c r="BL40" i="18"/>
  <c r="BI40" i="18"/>
  <c r="BO39" i="18"/>
  <c r="BI39" i="18"/>
  <c r="BL39" i="18" s="1"/>
  <c r="BO38" i="18"/>
  <c r="BI38" i="18"/>
  <c r="BL38" i="18" s="1"/>
  <c r="BO37" i="18"/>
  <c r="BL37" i="18"/>
  <c r="BO36" i="18"/>
  <c r="BL36" i="18"/>
  <c r="BO35" i="18"/>
  <c r="BO71" i="18" s="1"/>
  <c r="BI35" i="18"/>
  <c r="BI71" i="18" s="1"/>
  <c r="BN30" i="18"/>
  <c r="BL30" i="18"/>
  <c r="BP29" i="18"/>
  <c r="BO29" i="18"/>
  <c r="BM29" i="18"/>
  <c r="BR28" i="18"/>
  <c r="BR30" i="18" s="1"/>
  <c r="BQ28" i="18"/>
  <c r="BQ30" i="18" s="1"/>
  <c r="BP28" i="18"/>
  <c r="BP30" i="18" s="1"/>
  <c r="BO28" i="18"/>
  <c r="BO30" i="18" s="1"/>
  <c r="BM28" i="18"/>
  <c r="BM30" i="18" s="1"/>
  <c r="BP15" i="18"/>
  <c r="BP14" i="18"/>
  <c r="BP13" i="18"/>
  <c r="BP12" i="18"/>
  <c r="BP11" i="18"/>
  <c r="BP10" i="18"/>
  <c r="BP9" i="18"/>
  <c r="BP8" i="18"/>
  <c r="BR7" i="18"/>
  <c r="BR16" i="18" s="1"/>
  <c r="BQ7" i="18"/>
  <c r="BQ16" i="18" s="1"/>
  <c r="BP7" i="18"/>
  <c r="BP16" i="18" s="1"/>
  <c r="B454" i="15"/>
  <c r="D453" i="15"/>
  <c r="F453" i="15" s="1"/>
  <c r="G453" i="15" s="1"/>
  <c r="D452" i="15"/>
  <c r="F452" i="15" s="1"/>
  <c r="D451" i="15"/>
  <c r="F451" i="15" s="1"/>
  <c r="F450" i="15"/>
  <c r="D449" i="15"/>
  <c r="F449" i="15" s="1"/>
  <c r="D448" i="15"/>
  <c r="F448" i="15" s="1"/>
  <c r="D447" i="15"/>
  <c r="F447" i="15" s="1"/>
  <c r="G447" i="15" s="1"/>
  <c r="D446" i="15"/>
  <c r="F446" i="15" s="1"/>
  <c r="D445" i="15"/>
  <c r="F445" i="15" s="1"/>
  <c r="D444" i="15"/>
  <c r="F444" i="15" s="1"/>
  <c r="F443" i="15"/>
  <c r="F442" i="15"/>
  <c r="F441" i="15"/>
  <c r="F440" i="15"/>
  <c r="F439" i="15"/>
  <c r="D438" i="15"/>
  <c r="F438" i="15" s="1"/>
  <c r="D437" i="15"/>
  <c r="F437" i="15" s="1"/>
  <c r="D435" i="15"/>
  <c r="F435" i="15" s="1"/>
  <c r="D434" i="15"/>
  <c r="F434" i="15" s="1"/>
  <c r="D433" i="15"/>
  <c r="F433" i="15" s="1"/>
  <c r="D432" i="15"/>
  <c r="F432" i="15" s="1"/>
  <c r="D431" i="15"/>
  <c r="F431" i="15" s="1"/>
  <c r="F430" i="15"/>
  <c r="D429" i="15"/>
  <c r="F429" i="15" s="1"/>
  <c r="D428" i="15"/>
  <c r="F428" i="15" s="1"/>
  <c r="D426" i="15"/>
  <c r="F426" i="15" s="1"/>
  <c r="D425" i="15"/>
  <c r="F425" i="15" s="1"/>
  <c r="D424" i="15"/>
  <c r="F424" i="15" s="1"/>
  <c r="D423" i="15"/>
  <c r="F423" i="15" s="1"/>
  <c r="F422" i="15"/>
  <c r="F421" i="15"/>
  <c r="E420" i="15"/>
  <c r="E454" i="15" s="1"/>
  <c r="D420" i="15"/>
  <c r="H416" i="15"/>
  <c r="F416" i="15"/>
  <c r="E416" i="15"/>
  <c r="I413" i="15"/>
  <c r="I416" i="15" s="1"/>
  <c r="H410" i="15"/>
  <c r="F410" i="15"/>
  <c r="E410" i="15"/>
  <c r="D409" i="15"/>
  <c r="D415" i="15" s="1"/>
  <c r="D407" i="15"/>
  <c r="C391" i="15"/>
  <c r="B334" i="15"/>
  <c r="D333" i="15"/>
  <c r="F333" i="15" s="1"/>
  <c r="G333" i="15" s="1"/>
  <c r="D332" i="15"/>
  <c r="F332" i="15" s="1"/>
  <c r="D331" i="15"/>
  <c r="F331" i="15" s="1"/>
  <c r="F330" i="15"/>
  <c r="D329" i="15"/>
  <c r="F329" i="15" s="1"/>
  <c r="D328" i="15"/>
  <c r="F328" i="15" s="1"/>
  <c r="D327" i="15"/>
  <c r="F327" i="15" s="1"/>
  <c r="G327" i="15" s="1"/>
  <c r="D326" i="15"/>
  <c r="F326" i="15" s="1"/>
  <c r="D325" i="15"/>
  <c r="F325" i="15" s="1"/>
  <c r="D324" i="15"/>
  <c r="F324" i="15" s="1"/>
  <c r="F323" i="15"/>
  <c r="F322" i="15"/>
  <c r="F321" i="15"/>
  <c r="F320" i="15"/>
  <c r="F319" i="15"/>
  <c r="D318" i="15"/>
  <c r="F318" i="15" s="1"/>
  <c r="D317" i="15"/>
  <c r="F317" i="15" s="1"/>
  <c r="D315" i="15"/>
  <c r="F315" i="15" s="1"/>
  <c r="D314" i="15"/>
  <c r="F314" i="15" s="1"/>
  <c r="D313" i="15"/>
  <c r="F313" i="15" s="1"/>
  <c r="D312" i="15"/>
  <c r="F312" i="15" s="1"/>
  <c r="D311" i="15"/>
  <c r="F311" i="15" s="1"/>
  <c r="F310" i="15"/>
  <c r="D309" i="15"/>
  <c r="F309" i="15" s="1"/>
  <c r="D308" i="15"/>
  <c r="F308" i="15" s="1"/>
  <c r="D306" i="15"/>
  <c r="F306" i="15" s="1"/>
  <c r="D305" i="15"/>
  <c r="F305" i="15" s="1"/>
  <c r="D304" i="15"/>
  <c r="F304" i="15" s="1"/>
  <c r="D303" i="15"/>
  <c r="F303" i="15" s="1"/>
  <c r="F302" i="15"/>
  <c r="F301" i="15"/>
  <c r="E300" i="15"/>
  <c r="E334" i="15" s="1"/>
  <c r="D300" i="15"/>
  <c r="H296" i="15"/>
  <c r="F296" i="15"/>
  <c r="E296" i="15"/>
  <c r="I293" i="15"/>
  <c r="I296" i="15" s="1"/>
  <c r="H290" i="15"/>
  <c r="F290" i="15"/>
  <c r="E290" i="15"/>
  <c r="D289" i="15"/>
  <c r="D295" i="15" s="1"/>
  <c r="D287" i="15"/>
  <c r="C271" i="15"/>
  <c r="K200" i="15"/>
  <c r="J200" i="15"/>
  <c r="H200" i="15"/>
  <c r="G200" i="15"/>
  <c r="E200" i="15"/>
  <c r="I199" i="15"/>
  <c r="F199" i="15"/>
  <c r="C199" i="15"/>
  <c r="I198" i="15"/>
  <c r="F198" i="15"/>
  <c r="C198" i="15"/>
  <c r="I197" i="15"/>
  <c r="C197" i="15"/>
  <c r="F197" i="15" s="1"/>
  <c r="I196" i="15"/>
  <c r="C196" i="15"/>
  <c r="F196" i="15" s="1"/>
  <c r="I195" i="15"/>
  <c r="F195" i="15"/>
  <c r="C195" i="15"/>
  <c r="I194" i="15"/>
  <c r="F194" i="15"/>
  <c r="C194" i="15"/>
  <c r="I193" i="15"/>
  <c r="C193" i="15"/>
  <c r="F193" i="15" s="1"/>
  <c r="I192" i="15"/>
  <c r="C192" i="15"/>
  <c r="F192" i="15" s="1"/>
  <c r="I191" i="15"/>
  <c r="C191" i="15"/>
  <c r="F191" i="15" s="1"/>
  <c r="I190" i="15"/>
  <c r="F190" i="15"/>
  <c r="C190" i="15"/>
  <c r="I189" i="15"/>
  <c r="C189" i="15"/>
  <c r="F189" i="15" s="1"/>
  <c r="I188" i="15"/>
  <c r="F188" i="15"/>
  <c r="I187" i="15"/>
  <c r="F187" i="15"/>
  <c r="C187" i="15"/>
  <c r="I186" i="15"/>
  <c r="C186" i="15"/>
  <c r="F186" i="15" s="1"/>
  <c r="I185" i="15"/>
  <c r="F185" i="15"/>
  <c r="I184" i="15"/>
  <c r="F184" i="15"/>
  <c r="I183" i="15"/>
  <c r="C183" i="15"/>
  <c r="F183" i="15" s="1"/>
  <c r="I182" i="15"/>
  <c r="C182" i="15"/>
  <c r="F182" i="15" s="1"/>
  <c r="I181" i="15"/>
  <c r="F181" i="15"/>
  <c r="C181" i="15"/>
  <c r="I180" i="15"/>
  <c r="C180" i="15"/>
  <c r="F180" i="15" s="1"/>
  <c r="I179" i="15"/>
  <c r="C179" i="15"/>
  <c r="F179" i="15" s="1"/>
  <c r="I178" i="15"/>
  <c r="C178" i="15"/>
  <c r="F178" i="15" s="1"/>
  <c r="I177" i="15"/>
  <c r="F177" i="15"/>
  <c r="C177" i="15"/>
  <c r="I176" i="15"/>
  <c r="F176" i="15"/>
  <c r="I175" i="15"/>
  <c r="C175" i="15"/>
  <c r="F175" i="15" s="1"/>
  <c r="I174" i="15"/>
  <c r="F174" i="15"/>
  <c r="C174" i="15"/>
  <c r="I173" i="15"/>
  <c r="C173" i="15"/>
  <c r="F173" i="15" s="1"/>
  <c r="I172" i="15"/>
  <c r="C172" i="15"/>
  <c r="F172" i="15" s="1"/>
  <c r="I171" i="15"/>
  <c r="F171" i="15"/>
  <c r="I170" i="15"/>
  <c r="C170" i="15"/>
  <c r="F170" i="15" s="1"/>
  <c r="I169" i="15"/>
  <c r="C169" i="15"/>
  <c r="F169" i="15" s="1"/>
  <c r="I168" i="15"/>
  <c r="C168" i="15"/>
  <c r="F168" i="15" s="1"/>
  <c r="I167" i="15"/>
  <c r="F167" i="15"/>
  <c r="C167" i="15"/>
  <c r="I166" i="15"/>
  <c r="F166" i="15"/>
  <c r="I165" i="15"/>
  <c r="F165" i="15"/>
  <c r="I164" i="15"/>
  <c r="I200" i="15" s="1"/>
  <c r="C164" i="15"/>
  <c r="C200" i="15" s="1"/>
  <c r="I159" i="15"/>
  <c r="H159" i="15"/>
  <c r="F159" i="15"/>
  <c r="J158" i="15"/>
  <c r="J159" i="15" s="1"/>
  <c r="I158" i="15"/>
  <c r="G158" i="15"/>
  <c r="L157" i="15"/>
  <c r="L159" i="15" s="1"/>
  <c r="K157" i="15"/>
  <c r="K159" i="15" s="1"/>
  <c r="J157" i="15"/>
  <c r="I157" i="15"/>
  <c r="G157" i="15"/>
  <c r="G159" i="15" s="1"/>
  <c r="L145" i="15"/>
  <c r="J144" i="15"/>
  <c r="J143" i="15"/>
  <c r="J142" i="15"/>
  <c r="J141" i="15"/>
  <c r="J140" i="15"/>
  <c r="J139" i="15"/>
  <c r="J138" i="15"/>
  <c r="J137" i="15"/>
  <c r="L136" i="15"/>
  <c r="K136" i="15"/>
  <c r="K145" i="15" s="1"/>
  <c r="J136" i="15"/>
  <c r="J145" i="15" s="1"/>
  <c r="H96" i="15"/>
  <c r="E96" i="15"/>
  <c r="G95" i="15"/>
  <c r="F95" i="15"/>
  <c r="F94" i="15"/>
  <c r="G94" i="15" s="1"/>
  <c r="D93" i="15"/>
  <c r="F93" i="15" s="1"/>
  <c r="G93" i="15" s="1"/>
  <c r="D92" i="15"/>
  <c r="F92" i="15" s="1"/>
  <c r="G92" i="15" s="1"/>
  <c r="D91" i="15"/>
  <c r="F91" i="15" s="1"/>
  <c r="G91" i="15" s="1"/>
  <c r="F90" i="15"/>
  <c r="G90" i="15" s="1"/>
  <c r="D90" i="15"/>
  <c r="F89" i="15"/>
  <c r="G89" i="15" s="1"/>
  <c r="G88" i="15"/>
  <c r="F88" i="15"/>
  <c r="D87" i="15"/>
  <c r="F87" i="15" s="1"/>
  <c r="G87" i="15" s="1"/>
  <c r="D86" i="15"/>
  <c r="F86" i="15" s="1"/>
  <c r="G86" i="15" s="1"/>
  <c r="G85" i="15"/>
  <c r="F85" i="15"/>
  <c r="F84" i="15"/>
  <c r="G84" i="15" s="1"/>
  <c r="G83" i="15"/>
  <c r="F83" i="15"/>
  <c r="F82" i="15"/>
  <c r="G82" i="15" s="1"/>
  <c r="G81" i="15"/>
  <c r="F81" i="15"/>
  <c r="F80" i="15"/>
  <c r="G80" i="15" s="1"/>
  <c r="G79" i="15"/>
  <c r="F79" i="15"/>
  <c r="F78" i="15"/>
  <c r="G78" i="15" s="1"/>
  <c r="G77" i="15"/>
  <c r="F77" i="15"/>
  <c r="F76" i="15"/>
  <c r="G76" i="15" s="1"/>
  <c r="D75" i="15"/>
  <c r="F75" i="15" s="1"/>
  <c r="G75" i="15" s="1"/>
  <c r="F74" i="15"/>
  <c r="G74" i="15" s="1"/>
  <c r="D74" i="15"/>
  <c r="D73" i="15"/>
  <c r="F73" i="15" s="1"/>
  <c r="G73" i="15" s="1"/>
  <c r="D72" i="15"/>
  <c r="F72" i="15" s="1"/>
  <c r="G72" i="15" s="1"/>
  <c r="G71" i="15"/>
  <c r="F71" i="15"/>
  <c r="D70" i="15"/>
  <c r="F70" i="15" s="1"/>
  <c r="G70" i="15" s="1"/>
  <c r="F69" i="15"/>
  <c r="G69" i="15" s="1"/>
  <c r="F68" i="15"/>
  <c r="G68" i="15" s="1"/>
  <c r="F67" i="15"/>
  <c r="G67" i="15" s="1"/>
  <c r="F66" i="15"/>
  <c r="G66" i="15" s="1"/>
  <c r="F65" i="15"/>
  <c r="G65" i="15" s="1"/>
  <c r="F64" i="15"/>
  <c r="G64" i="15" s="1"/>
  <c r="D63" i="15"/>
  <c r="F63" i="15" s="1"/>
  <c r="G63" i="15" s="1"/>
  <c r="G62" i="15"/>
  <c r="F62" i="15"/>
  <c r="D61" i="15"/>
  <c r="D56" i="15"/>
  <c r="E55" i="15"/>
  <c r="E57" i="15" s="1"/>
  <c r="D54" i="15"/>
  <c r="I22" i="12" l="1"/>
  <c r="F164" i="15"/>
  <c r="F200" i="15" s="1"/>
  <c r="BL35" i="18"/>
  <c r="BL71" i="18" s="1"/>
  <c r="I42" i="12"/>
  <c r="I46" i="12" s="1"/>
  <c r="F300" i="15"/>
  <c r="F334" i="15" s="1"/>
  <c r="G334" i="15" s="1"/>
  <c r="D454" i="15"/>
  <c r="D408" i="15" s="1"/>
  <c r="D96" i="15"/>
  <c r="D55" i="15" s="1"/>
  <c r="D57" i="15" s="1"/>
  <c r="F61" i="15"/>
  <c r="F96" i="15" s="1"/>
  <c r="G96" i="15" s="1"/>
  <c r="D334" i="15"/>
  <c r="A283" i="15" s="1"/>
  <c r="F420" i="15"/>
  <c r="F454" i="15" s="1"/>
  <c r="G454" i="15" s="1"/>
  <c r="D288" i="15" l="1"/>
  <c r="D290" i="15" s="1"/>
  <c r="A403" i="15"/>
  <c r="G61" i="15"/>
  <c r="D410" i="15"/>
  <c r="D414" i="15"/>
  <c r="G408" i="15"/>
  <c r="G410" i="15" s="1"/>
  <c r="P67" i="14"/>
  <c r="C66" i="14"/>
  <c r="P66" i="14" s="1"/>
  <c r="P68" i="14"/>
  <c r="P69" i="14"/>
  <c r="P70" i="14"/>
  <c r="D294" i="15" l="1"/>
  <c r="D296" i="15" s="1"/>
  <c r="G288" i="15"/>
  <c r="G290" i="15" s="1"/>
  <c r="G414" i="15"/>
  <c r="G416" i="15" s="1"/>
  <c r="D416" i="15"/>
  <c r="P72" i="14"/>
  <c r="C71" i="14"/>
  <c r="C65" i="14" s="1"/>
  <c r="P73" i="14"/>
  <c r="P74" i="14"/>
  <c r="P75" i="14"/>
  <c r="C12" i="14"/>
  <c r="G23" i="14"/>
  <c r="H23" i="14" s="1"/>
  <c r="I21" i="14"/>
  <c r="J21" i="14" s="1"/>
  <c r="G24" i="14"/>
  <c r="L24" i="14" s="1"/>
  <c r="I15" i="14"/>
  <c r="K15" i="14" s="1"/>
  <c r="I14" i="14"/>
  <c r="J18" i="14"/>
  <c r="K18" i="14" s="1"/>
  <c r="L18" i="14" s="1"/>
  <c r="M17" i="14"/>
  <c r="N17" i="14" s="1"/>
  <c r="I16" i="14"/>
  <c r="J16" i="14" s="1"/>
  <c r="K16" i="14" s="1"/>
  <c r="F22" i="14"/>
  <c r="F12" i="14" s="1"/>
  <c r="F117" i="14" s="1"/>
  <c r="F115" i="14" s="1"/>
  <c r="L20" i="14"/>
  <c r="J24" i="14" l="1"/>
  <c r="J15" i="14"/>
  <c r="P71" i="14"/>
  <c r="G294" i="15"/>
  <c r="G296" i="15" s="1"/>
  <c r="M18" i="14"/>
  <c r="G22" i="14"/>
  <c r="J14" i="14"/>
  <c r="H22" i="14" l="1"/>
  <c r="G12" i="14"/>
  <c r="G117" i="14" s="1"/>
  <c r="G115" i="14" s="1"/>
  <c r="K14" i="14"/>
  <c r="I22" i="14" l="1"/>
  <c r="H12" i="14"/>
  <c r="H117" i="14" s="1"/>
  <c r="H115" i="14" s="1"/>
  <c r="J22" i="14" l="1"/>
  <c r="I12" i="14"/>
  <c r="I117" i="14" s="1"/>
  <c r="I115" i="14" s="1"/>
  <c r="K22" i="14" l="1"/>
  <c r="J12" i="14"/>
  <c r="J117" i="14" s="1"/>
  <c r="J115" i="14" s="1"/>
  <c r="L22" i="14" l="1"/>
  <c r="K12" i="14"/>
  <c r="K117" i="14" s="1"/>
  <c r="K115" i="14" s="1"/>
  <c r="M22" i="14" l="1"/>
  <c r="L12" i="14"/>
  <c r="L117" i="14" s="1"/>
  <c r="L115" i="14" s="1"/>
  <c r="N22" i="14" l="1"/>
  <c r="M12" i="14"/>
  <c r="M117" i="14" s="1"/>
  <c r="M115" i="14" s="1"/>
  <c r="O22" i="14" l="1"/>
  <c r="O12" i="14" s="1"/>
  <c r="O117" i="14" s="1"/>
  <c r="O115" i="14" s="1"/>
  <c r="N12" i="14"/>
  <c r="N117" i="14" s="1"/>
  <c r="N115" i="14" s="1"/>
  <c r="C117" i="14" l="1"/>
  <c r="C115" i="14" s="1"/>
  <c r="P115" i="14" s="1"/>
  <c r="G564" i="13"/>
  <c r="P65" i="14"/>
</calcChain>
</file>

<file path=xl/comments1.xml><?xml version="1.0" encoding="utf-8"?>
<comments xmlns="http://schemas.openxmlformats.org/spreadsheetml/2006/main">
  <authors>
    <author>zia.mirzada</author>
  </authors>
  <commentList>
    <comment ref="B88" authorId="0" shapeId="0">
      <text>
        <r>
          <rPr>
            <b/>
            <sz val="9"/>
            <color indexed="81"/>
            <rFont val="Tahoma"/>
            <family val="2"/>
          </rPr>
          <t>zia.mirzada:</t>
        </r>
        <r>
          <rPr>
            <sz val="9"/>
            <color indexed="81"/>
            <rFont val="Tahoma"/>
            <family val="2"/>
          </rPr>
          <t xml:space="preserve">
شامال معاشات ، تمام فعالیت های پروژه بدون خریداری تجهیزات وزیر بنا ها</t>
        </r>
      </text>
    </comment>
    <comment ref="B95" authorId="0" shapeId="0">
      <text>
        <r>
          <rPr>
            <b/>
            <sz val="9"/>
            <color indexed="81"/>
            <rFont val="Tahoma"/>
            <family val="2"/>
          </rPr>
          <t>zia.mirzada:</t>
        </r>
        <r>
          <rPr>
            <sz val="9"/>
            <color indexed="81"/>
            <rFont val="Tahoma"/>
            <family val="2"/>
          </rPr>
          <t xml:space="preserve">
زیر بنا ها و خریداری تجهیزات</t>
        </r>
      </text>
    </comment>
  </commentList>
</comments>
</file>

<file path=xl/sharedStrings.xml><?xml version="1.0" encoding="utf-8"?>
<sst xmlns="http://schemas.openxmlformats.org/spreadsheetml/2006/main" count="5656" uniqueCount="1209">
  <si>
    <t>محصول 3:تهیه وخریداری تجهیزات ، سامان الات وابزارکاربرای پیشبرد فعالیت های تخنیکی قوریه</t>
  </si>
  <si>
    <t xml:space="preserve">میعاد </t>
  </si>
  <si>
    <t xml:space="preserve">تاریخ آغاز </t>
  </si>
  <si>
    <t xml:space="preserve">تاریخ ختم </t>
  </si>
  <si>
    <t>ریاست عمومی منابع طبیعی</t>
  </si>
  <si>
    <t>یکسال</t>
  </si>
  <si>
    <t>ریاست جنگلات</t>
  </si>
  <si>
    <t>یک سال</t>
  </si>
  <si>
    <t>کارمندفنی، اعضای جوامع محلی، آمرمنابع طبیعی</t>
  </si>
  <si>
    <t xml:space="preserve">ریاست عمومی منابع طبیعی </t>
  </si>
  <si>
    <t xml:space="preserve">آمریت احیا وتوسعه جنگلات، ریاست زراعت ولایات </t>
  </si>
  <si>
    <t>آمریت احیا وتوسعه جنگلات و ریاست زراعت ولایات</t>
  </si>
  <si>
    <t>الف: احیاء و حفاظت جنگلات، تنظیم آبریزه ها و زنجیره ارزش افزایی محصولات جنگل</t>
  </si>
  <si>
    <t>ولایات</t>
  </si>
  <si>
    <t>ولسوالی</t>
  </si>
  <si>
    <t>قریه</t>
  </si>
  <si>
    <t>محصول</t>
  </si>
  <si>
    <t>واحد</t>
  </si>
  <si>
    <t>کمیت</t>
  </si>
  <si>
    <t>تاریخ آغاز</t>
  </si>
  <si>
    <t>تاریخ ختم</t>
  </si>
  <si>
    <t>پروژه</t>
  </si>
  <si>
    <t>نوع مستفید شونده گان</t>
  </si>
  <si>
    <t xml:space="preserve">مرکز </t>
  </si>
  <si>
    <t xml:space="preserve">نفر </t>
  </si>
  <si>
    <t>اصله</t>
  </si>
  <si>
    <t>لیتر</t>
  </si>
  <si>
    <t>کیلوگرام</t>
  </si>
  <si>
    <t>نفر</t>
  </si>
  <si>
    <t>عراده</t>
  </si>
  <si>
    <t xml:space="preserve">فاریاب </t>
  </si>
  <si>
    <t>پکتیا</t>
  </si>
  <si>
    <t>کنر</t>
  </si>
  <si>
    <t xml:space="preserve">بامیان </t>
  </si>
  <si>
    <t>دایکندی</t>
  </si>
  <si>
    <t>نورستان</t>
  </si>
  <si>
    <t xml:space="preserve">حلقه </t>
  </si>
  <si>
    <t>مرکز وزارت</t>
  </si>
  <si>
    <t>1جدی</t>
  </si>
  <si>
    <t>30قوس</t>
  </si>
  <si>
    <t>√</t>
  </si>
  <si>
    <t>بامیان</t>
  </si>
  <si>
    <t>1حمل</t>
  </si>
  <si>
    <t>مردم محل</t>
  </si>
  <si>
    <t>انجمن</t>
  </si>
  <si>
    <t xml:space="preserve">عراده </t>
  </si>
  <si>
    <t xml:space="preserve">قرطاسیه ومصارف اداری </t>
  </si>
  <si>
    <t>بدخشان</t>
  </si>
  <si>
    <t xml:space="preserve">چاله </t>
  </si>
  <si>
    <t xml:space="preserve">خریداری تخم هنگ </t>
  </si>
  <si>
    <t xml:space="preserve">خریداری اب پاش </t>
  </si>
  <si>
    <t>عدد</t>
  </si>
  <si>
    <t xml:space="preserve">تهیه اب </t>
  </si>
  <si>
    <t>بلخ</t>
  </si>
  <si>
    <t xml:space="preserve">قلمه </t>
  </si>
  <si>
    <t xml:space="preserve">کرایه انتقال قلمه ریشه شرین بویه </t>
  </si>
  <si>
    <t>بغلان</t>
  </si>
  <si>
    <t>جوزجان</t>
  </si>
  <si>
    <t>سمنگان</t>
  </si>
  <si>
    <t>غزنی</t>
  </si>
  <si>
    <t>غور</t>
  </si>
  <si>
    <t xml:space="preserve">مرکز, دولتیارولعل </t>
  </si>
  <si>
    <t>فراه</t>
  </si>
  <si>
    <t>فاریاب</t>
  </si>
  <si>
    <t>کندز</t>
  </si>
  <si>
    <t>هرات</t>
  </si>
  <si>
    <t>پروان</t>
  </si>
  <si>
    <t>کاپیسا</t>
  </si>
  <si>
    <t>میدان وردک</t>
  </si>
  <si>
    <t>لوگر</t>
  </si>
  <si>
    <t>پنجشیر</t>
  </si>
  <si>
    <t>سرپل</t>
  </si>
  <si>
    <t>پکتیکا</t>
  </si>
  <si>
    <t>خوست</t>
  </si>
  <si>
    <t>ننگرهار</t>
  </si>
  <si>
    <t>لغمان</t>
  </si>
  <si>
    <t>بادغیس</t>
  </si>
  <si>
    <t>تخار</t>
  </si>
  <si>
    <t>هلمند</t>
  </si>
  <si>
    <t>زابل</t>
  </si>
  <si>
    <t>اروزگان</t>
  </si>
  <si>
    <t>انکشاف ایکوسیستم های با ارزش طبیعی</t>
  </si>
  <si>
    <t>الف</t>
  </si>
  <si>
    <t>احیاء و حفاظت جنگلات، تنظیم آبریزه ها زنجیره ارزش افزایی محصولات</t>
  </si>
  <si>
    <t>ب</t>
  </si>
  <si>
    <t>تنظیم همه جانبه علفچر ها و نباتات طبی</t>
  </si>
  <si>
    <t>احیای فارم ها و جنگل باغ ها غرض گسترش فضای سبز</t>
  </si>
  <si>
    <t>انکشاف ایکوسیستم های طبیعی با ارزش</t>
  </si>
  <si>
    <t>شماره</t>
  </si>
  <si>
    <t>سکتور</t>
  </si>
  <si>
    <t>اداره تدارکاتی</t>
  </si>
  <si>
    <t>نوع بودجه عادی/ انکشافی</t>
  </si>
  <si>
    <t>کود بودجوی</t>
  </si>
  <si>
    <t>عنوان نام پروژه در بودجه منظور شده</t>
  </si>
  <si>
    <t>تمویل کننده پروژه</t>
  </si>
  <si>
    <t>شرح تدارکات پروژه</t>
  </si>
  <si>
    <t>نوع قرارداد</t>
  </si>
  <si>
    <t>ترجیح تدارکات از منابع داخلی</t>
  </si>
  <si>
    <t>شماره قرارداد</t>
  </si>
  <si>
    <t>تاریخ موافقه کتبی تمویل کننده با وزارت مالیه در مورد وجوه مالی</t>
  </si>
  <si>
    <t>روش تدارکات(در صورت استفاده از شیوه های دیگردلایل ان واضح گردد</t>
  </si>
  <si>
    <t>قیمت تخمینی تدارکات/پروژه به افغانی</t>
  </si>
  <si>
    <t>تاریخ تخمینی منظوری اغاز پروسه تدارکات پروژه</t>
  </si>
  <si>
    <t>تاریخ تخمینی اعلان تدارکات پروژه</t>
  </si>
  <si>
    <t>تاریخ تخمینی باز گشای افر ها</t>
  </si>
  <si>
    <t>تاریخ اغاز ارزیابی افر ها</t>
  </si>
  <si>
    <t>تاریخ ختم ارزیابی افر ها</t>
  </si>
  <si>
    <t>تاریخ ارایه گذارش ارزیابی</t>
  </si>
  <si>
    <t>تاریخ تخمینی نشر اطلا عیه تصمیم بر اعطای قرارداد</t>
  </si>
  <si>
    <t>تاریخ تخمینی امضای قرارداد</t>
  </si>
  <si>
    <t>معیاد ورانتی/گرانتی/معیادرفع نواقص ساختمان</t>
  </si>
  <si>
    <t>تاریخ تخمینی تکمیل پروژه /قرارداد</t>
  </si>
  <si>
    <t>ملاحظات</t>
  </si>
  <si>
    <t>وزارت زراعت ابیاری و مالداری</t>
  </si>
  <si>
    <t>انکشافی</t>
  </si>
  <si>
    <t>AFG/390654</t>
  </si>
  <si>
    <t xml:space="preserve">برنامه ملی تنظیم منابع طبیعی </t>
  </si>
  <si>
    <t>دولت افغانستان</t>
  </si>
  <si>
    <t>داده شده</t>
  </si>
  <si>
    <t>باز داخلی</t>
  </si>
  <si>
    <t xml:space="preserve">احمد شاه امرخیل </t>
  </si>
  <si>
    <t xml:space="preserve">احمد ضیا میرزاده </t>
  </si>
  <si>
    <t>امضاء</t>
  </si>
  <si>
    <t xml:space="preserve">مدیر گزارش دهی ونظارت </t>
  </si>
  <si>
    <t xml:space="preserve">سید رحمن زیارمل </t>
  </si>
  <si>
    <t xml:space="preserve">رئیس ساحات حفاظت شده </t>
  </si>
  <si>
    <t>بخش ها</t>
  </si>
  <si>
    <t>احیاء و حفاظت جنگلات و تنظیم آبریزه ها</t>
  </si>
  <si>
    <t>سرسبزی و گسترش فضای سبز و کمر بند شهر کابل</t>
  </si>
  <si>
    <t>2. کمربند سبز شهر کابل</t>
  </si>
  <si>
    <t>مجموع عمومی</t>
  </si>
  <si>
    <t xml:space="preserve">جمهوری اسلامی  افغانستان </t>
  </si>
  <si>
    <t xml:space="preserve">وزارت مالیه </t>
  </si>
  <si>
    <t>ریاست عمومی بودجه</t>
  </si>
  <si>
    <t>فورمه واحد ترتیب و گزارشدهی بودجه</t>
  </si>
  <si>
    <t>شماره پروژه درسند بودجه(     )</t>
  </si>
  <si>
    <t xml:space="preserve">سال 1395 </t>
  </si>
  <si>
    <t xml:space="preserve">قسمت اول: معلومات عمومی </t>
  </si>
  <si>
    <t xml:space="preserve">نام برنامه/پروژه: </t>
  </si>
  <si>
    <t>برنامه ملی تنظیم منابع طبیعی</t>
  </si>
  <si>
    <t>نوع پروژه:</t>
  </si>
  <si>
    <t>جدید</t>
  </si>
  <si>
    <t>انتقالی</t>
  </si>
  <si>
    <t>شماره تشخصیه AFG برنامه/ پروژه ( فقط برای پروژه های در حال جاری)</t>
  </si>
  <si>
    <t>شماره تشخصیه  کشور/ موسسه کمک دهنده: ( فقط برای پروژه های در حال جاری)</t>
  </si>
  <si>
    <t xml:space="preserve">نام موافقتنامه: </t>
  </si>
  <si>
    <t xml:space="preserve">شماره موافقتنامه: </t>
  </si>
  <si>
    <t>مدت گزارشدهی:</t>
  </si>
  <si>
    <t xml:space="preserve">شرح مختصر برنامه/ پروژه: </t>
  </si>
  <si>
    <r>
      <t xml:space="preserve">این برنامه در مطابقت به ماده چهاردهم و پانزدهم قانون اساسی کشور، طرح استراتیژیک برنامه ملی دارای اولویت اول (NPP1) در رابطه به "انکشاف منابع طبیعی و آب" ، بیانیه تاریخی (2 حمل سال 1394) جلالتماب رئیس جمهور ج.ا.ا. بمناسبت روز دهقان که اهداف حکومت وحدت ملی را در راستای سکتور زراعت برای 5 سال آینده ارایه و طبقآ در بخش منابع طبیعی، اینریاست خود را مکلف برای اجرای اهداف مشخص در خصوص موارد: (1) احیاء و حفاظت جنگلات طبیعی، (2) مطالعه و موجودی پوشش نباتی برای پلانگذاری دقیق، (3) تقویه زنجیره ارزش افزایی و پروسس محصولات جنگل (بخصوص پسته و جلغوزه)، (4) انکشاف جنگلات مصنوعی و سرسبزی در شهر ها و کمربند شهری کابل، (5) حفاظت علفچر ها و احیا مجدد  علفچر، و جلوگیری از ریگ های روان، (6) تنظیم، پروسس و بهره برداری پایدار نباتات طبی (خصوصا هنگ و شرین بویه) توسط جامعه، و (7) انکشاف ایکوسیستم های با ارزش طبیعی، میداند. 
علاوتا، طرح اجزای این برنامه منبی بر پلان منظور شده توسط شورای محترم وزیران در مطابقت به فرمان شماره 45 ریاست ج.ا.ا. در رابطه به احیا و حفاظت جنگلات و آبریزه ها و در مطابقت به دید گاه  وزارت زراعت، آّبیاری و مالداری برای عبور ازتطبیق فعالیت ها از نحوه  پروژه ای به سمت انسجام دهی فعالیت ها تحت چتر برنامه ملی، ترتیب گردیده است. 
 علاوتا این برنامه بصورت همه جانبه موارد پایداری، انکشاف منابع بشری، ایجاد زمینه اشتغال و درآمد و تساوی جندر را با در نظر داشت اصل مشارکت جوامع در نظر گرفته که با این روش میتوان از تخریبات منابع جلوگیری، بنیه و سرمایه های طبیعی کشور را جهت استفاده معقول و پایدار تقویه ، تاثیرات ناگوار تغییرات اقلیمی را کاهش و در نتیجه زمینه را برای ایجاد معیشت پایدارجوامع محلی بهبود و عواید ملی را تقویت بخشید. 
با در نظرداشت اهمیت و مشکلات موجود در راستای حفاظت و تنظیم منابع طبیعی، طرح اجزای این برنامه منبی بر پلان منظور شده توسط شورای محترم وزیران در مطابقت به فرمان شماره 45 ریاست ج.ا.ا. در رابطه به احیا و حفاظت جنگلات و تنظیم آبریزه ها و در مطابقت به دید گاه  وزارت زراعت، آّبیاری و مالداری برای عبور ازتطبیق فعالیت ها از نحوه  پروژه ای به سمت انسجام دهی فعالیت ها تحت چتر برنامه ملی، ترتیب گردیده است. 
طرح این برنامه ملی برای انسجام فعالیت پروژه های سالهای قبل منابع طبیعی که تحت کود نمبر AFG/390654 (پروژه احیاء جنگلات و تنظیم آبریزه ها) و AFG/390655 (پروژه سرسبزی و جلوگیری از توسعه صحرا) و اجرای فعالیت های پلان شده جدید، تحت چهار اجزای کلیدی این برنامه، از قرار ذیل ترتیب گردیده است:
</t>
    </r>
    <r>
      <rPr>
        <b/>
        <sz val="11"/>
        <rFont val="2  Nazanin"/>
        <charset val="178"/>
      </rPr>
      <t>الف:</t>
    </r>
    <r>
      <rPr>
        <sz val="11"/>
        <rFont val="2  Nazanin"/>
        <charset val="178"/>
      </rPr>
      <t xml:space="preserve"> احیا و حفاظت جنگلات، آبریزه ها و تنظیم رفع حاصل محصولات جنگل.
</t>
    </r>
    <r>
      <rPr>
        <b/>
        <sz val="11"/>
        <rFont val="2  Nazanin"/>
        <charset val="178"/>
      </rPr>
      <t>ب:</t>
    </r>
    <r>
      <rPr>
        <sz val="11"/>
        <rFont val="2  Nazanin"/>
        <charset val="178"/>
      </rPr>
      <t xml:space="preserve"> تنظیم همه جانبه  علفچرها و نباتات طبی.
</t>
    </r>
    <r>
      <rPr>
        <b/>
        <sz val="11"/>
        <rFont val="2  Nazanin"/>
        <charset val="178"/>
      </rPr>
      <t xml:space="preserve">ج: </t>
    </r>
    <r>
      <rPr>
        <sz val="11"/>
        <rFont val="2  Nazanin"/>
        <charset val="178"/>
      </rPr>
      <t xml:space="preserve">سرسبزی و گسترش فضای سبز در حومه شهر ها و کمربند سبز شهر کابل.
</t>
    </r>
    <r>
      <rPr>
        <b/>
        <sz val="11"/>
        <rFont val="2  Nazanin"/>
        <charset val="178"/>
      </rPr>
      <t>د:</t>
    </r>
    <r>
      <rPr>
        <sz val="11"/>
        <rFont val="2  Nazanin"/>
        <charset val="178"/>
      </rPr>
      <t xml:space="preserve"> انکشاف ایکوسیستم های طبیعی با ارزش.
</t>
    </r>
  </si>
  <si>
    <t xml:space="preserve">اهداف مشخص برنامه/ پروژه: </t>
  </si>
  <si>
    <r>
      <rPr>
        <b/>
        <sz val="12"/>
        <rFont val="2  Nazanin"/>
        <charset val="178"/>
      </rPr>
      <t>ج</t>
    </r>
    <r>
      <rPr>
        <b/>
        <sz val="14"/>
        <rFont val="2  Nazanin"/>
        <charset val="178"/>
      </rPr>
      <t xml:space="preserve">: سرسبزی و گسترش فضای سبز در شهر ها و کمر بند شهر کابل </t>
    </r>
    <r>
      <rPr>
        <sz val="14"/>
        <rFont val="2  Nazanin"/>
        <charset val="178"/>
      </rPr>
      <t xml:space="preserve">
        </t>
    </r>
    <r>
      <rPr>
        <b/>
        <sz val="14"/>
        <rFont val="2  Nazanin"/>
        <charset val="178"/>
      </rPr>
      <t xml:space="preserve">   1. احیای فارم ها و مراکز تکثیری و آموزشی</t>
    </r>
    <r>
      <rPr>
        <sz val="14"/>
        <rFont val="2  Nazanin"/>
        <charset val="178"/>
      </rPr>
      <t xml:space="preserve">
ااحیا وحفاظت قوریجات  جهت تولید نهالهای جنگلاتی وزینتی در 32 ولایت ، احداث جنگل باغ ها ی چنار به اشتراک مردم در 6 ولایت .
</t>
    </r>
    <r>
      <rPr>
        <b/>
        <sz val="14"/>
        <rFont val="2  Nazanin"/>
        <charset val="178"/>
      </rPr>
      <t xml:space="preserve">د: انکشاف ایکوسیستمهای طبیعی باارزش
</t>
    </r>
    <r>
      <rPr>
        <sz val="14"/>
        <rFont val="2  Nazanin"/>
        <charset val="178"/>
      </rPr>
      <t>(1)فراهم  اوری تسهیلات لازم توریستکی از طریق ایجاد زیربنا ها وتنظیم وحفاظت ساحات تحت پروگرام تاپایان پروژه 
(3) حفاظت منابع طبیعی پارک ملی بند امیر ودره شاه فولادی ولایت بامیان، پارک ملی ولسوالی واخان بدخشان و ساحات حفاظت شده پشنهادی  وکول حشمت خان کابل ،  
(4) ایجاد کار وبهبود معیشت مردم اطراف ساحات متذکره.
(5) تنویر اذهان عامه در مورد اهمیت ساحات حفاظت شده ومنابع طبیعی آن.
(6) جلوگیری از تخلفات با تطبیق قوانین وپالیسی ها .</t>
    </r>
  </si>
  <si>
    <r>
      <rPr>
        <b/>
        <sz val="14"/>
        <rFont val="2  Nazanin"/>
        <charset val="178"/>
      </rPr>
      <t xml:space="preserve">معلومات مفصل در مورد  همکاران برنامه/پروژه: </t>
    </r>
    <r>
      <rPr>
        <b/>
        <sz val="12"/>
        <rFont val="2  Nazanin"/>
        <charset val="178"/>
      </rPr>
      <t xml:space="preserve">
</t>
    </r>
    <r>
      <rPr>
        <sz val="12"/>
        <rFont val="2  Nazanin"/>
        <charset val="178"/>
      </rPr>
      <t>مدیریت و رهبری این برنامه بدوش ریاست عمومی منابع طبیعی بوده ریاست های سکتوری  به صفت همکاران بخش تخنیکی در پییشبرد فعالیت های برنامه با سهم گیری فعال  و مستقیم آمریت های منابع طبیعی و مدیریت جنگلات و علفچرها در چوکات اداره زراعت  به همکاری هیئت ولایتی و  مردم محل صورت میگیرد.
وزارت های مالیه، اقتصاد،  تجارت،  اداره ملی حفاظت محیط زیست،  ریاست مالی و حسابی، ریاست عمومی پلان, ریاست تدارکات، ریاست زراعت ولایات، مستوفیت ولایات، شوراهای ولایتی ، ولسوالی ها انجمن های منابع طبیعی و موسسات همکار منحیث شرکای کاری و همکاران بیرونی این برنامه شمرده میشوند.</t>
    </r>
  </si>
  <si>
    <t xml:space="preserve">همکاران </t>
  </si>
  <si>
    <t xml:space="preserve">شخص ارتباطی </t>
  </si>
  <si>
    <t xml:space="preserve">ادرس ایمیل </t>
  </si>
  <si>
    <t xml:space="preserve">شماره تیلیفون </t>
  </si>
  <si>
    <t xml:space="preserve">وزارت /ارگان مربوطه </t>
  </si>
  <si>
    <t>وزارت زراعت، آبیاری و مالداری</t>
  </si>
  <si>
    <t xml:space="preserve">رفاع الدین  امینی </t>
  </si>
  <si>
    <t>refauddin.amini@mail.gov.af</t>
  </si>
  <si>
    <t xml:space="preserve">کشور/ موسسه کمک د هنده </t>
  </si>
  <si>
    <t xml:space="preserve">ارگان تطبیق کننده </t>
  </si>
  <si>
    <t>ریاست عمومی منابع طبیعی / ریاست های ( حنگلات، علفجرها وساحات حفاظت شده )</t>
  </si>
  <si>
    <t>قراردادی( سطح اول)</t>
  </si>
  <si>
    <t xml:space="preserve">موقعیت پروژه </t>
  </si>
  <si>
    <t xml:space="preserve">33ولایت </t>
  </si>
  <si>
    <t xml:space="preserve">سکتور ستراتیژی انکشاف ملی </t>
  </si>
  <si>
    <t xml:space="preserve">زراعت وانکشاف دهات </t>
  </si>
  <si>
    <t xml:space="preserve">برنامه ستراتیژی انکشاف ملی </t>
  </si>
  <si>
    <t xml:space="preserve">تنظیم منابع طبیعی </t>
  </si>
  <si>
    <t xml:space="preserve">مسایل مشترک ستراتیژی انکشاف ملی </t>
  </si>
  <si>
    <t>جندر، محیطزیست ، مبارزه بامواد مخدر، همکاری های منطقوی ومبارزه با فساد اداری .</t>
  </si>
  <si>
    <t xml:space="preserve">پروژه مذکور چگونه به اهداف سکتوری و مسایل مشترک ستراتیژی انکشاف ملی افغانستان کمک مینماید؟ </t>
  </si>
  <si>
    <t>رشد اقتصادی و مصئونیت غذایی متکی بر تنظیم منابع طبیعی ، تقویت ایکوتوریزم، افزایش تولیدات و حاصلات زراعتی، بهبود زیربنا های فزیکی و توسعه بازارها میباشد. این راهی است بسوی کاهش فقر، 
کشت قانونی و امنیت ملی درکشورکه رابطه مستقیم باستراتیژی انکشاف ملی افغانستان را دارا میباشد.</t>
  </si>
  <si>
    <t xml:space="preserve">قسمت دوم: جزئیات مالی( به میلیون افغانی):  برای برنامه/پروژه جدید صرف آن معلوماتی که بدسترس شما قرار دارد ارایه نماید. </t>
  </si>
  <si>
    <t xml:space="preserve">مجموع قیمت پروژه </t>
  </si>
  <si>
    <t xml:space="preserve">مبلغ وعده شده </t>
  </si>
  <si>
    <t xml:space="preserve">تعهد کتبی </t>
  </si>
  <si>
    <t xml:space="preserve">پرداخت/ تادیه </t>
  </si>
  <si>
    <t xml:space="preserve">مبلغ </t>
  </si>
  <si>
    <t xml:space="preserve">تاریخ </t>
  </si>
  <si>
    <t>در همین مدت</t>
  </si>
  <si>
    <t xml:space="preserve">مبلغ مجموعی </t>
  </si>
  <si>
    <t xml:space="preserve">نوع تمویل: </t>
  </si>
  <si>
    <t>نوع کمک: بلاعوض</t>
  </si>
  <si>
    <t xml:space="preserve">مجرای تمویل: </t>
  </si>
  <si>
    <t xml:space="preserve">تقسیمات نیازمندی </t>
  </si>
  <si>
    <t>تقسیمات سالانه نیازمندی ( به هزارافغانی)</t>
  </si>
  <si>
    <t xml:space="preserve">1396 تخمینی </t>
  </si>
  <si>
    <t xml:space="preserve">مجموع </t>
  </si>
  <si>
    <t xml:space="preserve">معاشات و سایر امتیازات </t>
  </si>
  <si>
    <t xml:space="preserve">اجناس  و خدمات </t>
  </si>
  <si>
    <t xml:space="preserve">دارایی ها/ تجهیزات </t>
  </si>
  <si>
    <t xml:space="preserve">مجموع برنامه/پروژه: </t>
  </si>
  <si>
    <t xml:space="preserve">تقسیمات مصارف </t>
  </si>
  <si>
    <t>تقسیمات سالانه تعهد کتبی( به هزارافغانی)</t>
  </si>
  <si>
    <t>تقسیمات ولایتی برای مدت یکسال( به هزارافغانی):</t>
  </si>
  <si>
    <t>سال 1395</t>
  </si>
  <si>
    <t xml:space="preserve">نام ولایت: </t>
  </si>
  <si>
    <t xml:space="preserve">اجناس و خدمات </t>
  </si>
  <si>
    <t xml:space="preserve">دارایی ها و تجهیزات </t>
  </si>
  <si>
    <t>مجموع بودجه</t>
  </si>
  <si>
    <t>مصرف سال 1394</t>
  </si>
  <si>
    <t>ولایت کابل</t>
  </si>
  <si>
    <t>نیمروز</t>
  </si>
  <si>
    <t>کندهار</t>
  </si>
  <si>
    <t>مجموع</t>
  </si>
  <si>
    <t xml:space="preserve">قسمت سوم: پیشرفت در زمینه تطبیق پروژه: </t>
  </si>
  <si>
    <t xml:space="preserve">وضعیت پروژه: </t>
  </si>
  <si>
    <t xml:space="preserve">باردهی ها یا کارهای مهم و میزان پیشرفت: </t>
  </si>
  <si>
    <t>شاخص ها/بازدهی ها یا نتایج کمی مورد نظر</t>
  </si>
  <si>
    <t>خلاصه پیشرفت کار</t>
  </si>
  <si>
    <t xml:space="preserve">فیصدی پشرفت کار </t>
  </si>
  <si>
    <t xml:space="preserve">قسمت چهارم: معلومات در مورد ارزیابی موثریت کمکها( اعلامیه پاریس):  صرف برای برنامه/پروژه در حال جاری, برای برنامه/پروژه جدید صرف نظر نمائید. </t>
  </si>
  <si>
    <t xml:space="preserve">1. آیا پروژه  مذکور بخش کمک تخنیکی یا ارتقای ظرفیت دارد یاخیر؟ اگر دارد درین صورت مبلغ آنرا ذکر نمایید </t>
  </si>
  <si>
    <t xml:space="preserve">بلی </t>
  </si>
  <si>
    <t xml:space="preserve">2ا ین کمک تخنیکی یا ارتقای ظرفیت با حکومت و سایر کشورها/ موسسات کمک دهنده شامل در عین سکتور همآهنگ شده یا خیر؟    </t>
  </si>
  <si>
    <t xml:space="preserve">3.برنامه/پروژه مذکور سیستم اداره امور مالی کشور مارا استفاده مینماید یاخیر؟ </t>
  </si>
  <si>
    <t xml:space="preserve">4.به هدف تطبیق پروژه مذکور از واحد موازی تطبیق پروژه استفاده میشود یاخیر؟  </t>
  </si>
  <si>
    <t>نخیر</t>
  </si>
  <si>
    <t xml:space="preserve">5.  برای نظارت از پروژه مذکور به چه تعدا د هئیت از دفتر مرکزی مرجع تمویل کننده به ساحه سفر نموده است؟ </t>
  </si>
  <si>
    <t xml:space="preserve">6.چه تعداد ازین ماموریتها با وزارت شما همآهنگ بوده است؟  </t>
  </si>
  <si>
    <t xml:space="preserve">قسمت پنجم: نظربات/ مشکلات: </t>
  </si>
  <si>
    <t>نا امنی، حوادث طبیعی وعدم اجرای بودجه درزمان مناسب، ضعف هماهنگی ادارات زیربط در مرکز و ولایات، تخصیص سالانه ناکافی و کمبود بودجه بصورت متداوم مطابق برنامه ، مغلق بودن پروسه استخدام، شیوه اجرای فعالیت های تخنیکی</t>
  </si>
  <si>
    <t xml:space="preserve">معلومات مربوط به شخصی که فورمه را خانه پری مینماید: </t>
  </si>
  <si>
    <t xml:space="preserve">اسم </t>
  </si>
  <si>
    <t xml:space="preserve">    موسسه یا داره مربوطه </t>
  </si>
  <si>
    <t xml:space="preserve">سمت یا وظیفه شخص </t>
  </si>
  <si>
    <t xml:space="preserve">ادارس ایمیل </t>
  </si>
  <si>
    <t>رفاع الدین "امینی "</t>
  </si>
  <si>
    <t>مدیرعمومی پلان و
هماهنگی پروژه ها</t>
  </si>
  <si>
    <t>وظیفه</t>
  </si>
  <si>
    <t>محل امضاء</t>
  </si>
  <si>
    <t xml:space="preserve"> سید امین الله فخری </t>
  </si>
  <si>
    <t xml:space="preserve">امرتنظیم جنگلات وابریزه ها </t>
  </si>
  <si>
    <t xml:space="preserve">امر احیا وتوسعه جنگلات </t>
  </si>
  <si>
    <t xml:space="preserve">غلام دستگیر سروری </t>
  </si>
  <si>
    <t xml:space="preserve">امرتنظیم علفچرها </t>
  </si>
  <si>
    <t>محمد امان امانیار</t>
  </si>
  <si>
    <t>رئیس جنگلات</t>
  </si>
  <si>
    <t>انجنیر محمد عارف حسینی</t>
  </si>
  <si>
    <t>رئیس علفچر ها</t>
  </si>
  <si>
    <t xml:space="preserve">           تصدیق کننده                                                                                                                                                       منظور کننده </t>
  </si>
  <si>
    <t xml:space="preserve">                منظور کننده             </t>
  </si>
  <si>
    <t xml:space="preserve">معین آبیاری ومنابع طبیعی </t>
  </si>
  <si>
    <t xml:space="preserve">بودجه عمومی پنج ساله برنامه ملی تنظیم منابع طبیعی بابت سال 1395 الی 1399                                      </t>
  </si>
  <si>
    <t>سال (1395)</t>
  </si>
  <si>
    <t>سال (1396)</t>
  </si>
  <si>
    <t>سال (1397)</t>
  </si>
  <si>
    <t>سال (1398)</t>
  </si>
  <si>
    <t>سال (1399)</t>
  </si>
  <si>
    <t>مجموع مصرف / پیشرفت</t>
  </si>
  <si>
    <t xml:space="preserve"> ( افغانی ) </t>
  </si>
  <si>
    <t>(افغانی)</t>
  </si>
  <si>
    <t>1. سرسبزی و گسترش فضای سبز
 نوت : تحت برنامه است اما  ازوجو مالی از som تمویل میگردد.</t>
  </si>
  <si>
    <t>انکشاف ایکوسیستم های باارزش طبیعی</t>
  </si>
  <si>
    <t>مجموع عمومی به افغانی</t>
  </si>
  <si>
    <t>مجموع عمومی به دالر امریکایی</t>
  </si>
  <si>
    <t xml:space="preserve">                                         بودجه عمومی پنج ساله برنامه ملی تنظیم منابع طبیعی بابت سال 1395 الی 1399</t>
  </si>
  <si>
    <t>بودجه عمومی پنج ساله برنامه ملی تنظیم منابع طبیعی بابت سال 1395 الی 1399</t>
  </si>
  <si>
    <t xml:space="preserve"> ( دالر ) </t>
  </si>
  <si>
    <t>1. احیای فارم ها جهت سرسبزی و گسترش فضای سبز</t>
  </si>
  <si>
    <t xml:space="preserve">هرات </t>
  </si>
  <si>
    <t>جز الف: احیاء وحفاظت جنگلات، تنظیم آبریزه ها و زنجیره ارزش افزایی محصولات جنگل</t>
  </si>
  <si>
    <t>کود</t>
  </si>
  <si>
    <t>شرخ</t>
  </si>
  <si>
    <t>دولت جمهوری اسلامی افغانستان</t>
  </si>
  <si>
    <t>دیپاتمنت فرعی</t>
  </si>
  <si>
    <t>خلاصه پلان مالی</t>
  </si>
  <si>
    <t>برنامه تنظیم منابع طبیعی</t>
  </si>
  <si>
    <t>تمام معاملات- ثبت شده وثبت نشده</t>
  </si>
  <si>
    <t>پلان مالی - انکشافی 1</t>
  </si>
  <si>
    <t xml:space="preserve"> کود</t>
  </si>
  <si>
    <t>شرح</t>
  </si>
  <si>
    <t>مجموعه سال</t>
  </si>
  <si>
    <t>جدی</t>
  </si>
  <si>
    <t>دلو</t>
  </si>
  <si>
    <t>حوت</t>
  </si>
  <si>
    <t>حمل</t>
  </si>
  <si>
    <t>ثور</t>
  </si>
  <si>
    <t>جوزا</t>
  </si>
  <si>
    <t>سرطان</t>
  </si>
  <si>
    <t>اسد</t>
  </si>
  <si>
    <t>سنبله</t>
  </si>
  <si>
    <t>میزان</t>
  </si>
  <si>
    <t>عقرب</t>
  </si>
  <si>
    <t>قوس</t>
  </si>
  <si>
    <t>بیلانس</t>
  </si>
  <si>
    <t>مجموعه عمومی ثبت شده و نشده</t>
  </si>
  <si>
    <t>اجناس وخدمات</t>
  </si>
  <si>
    <t>فعالیت ها-کسب دارائی</t>
  </si>
  <si>
    <t>ترتیب کننده:</t>
  </si>
  <si>
    <t>سید امین الله فخری</t>
  </si>
  <si>
    <t>امضا</t>
  </si>
  <si>
    <t>جز ب: تنظیم همه جانبه علفچر ها  و نباتات طبی</t>
  </si>
  <si>
    <t xml:space="preserve">سال مالی </t>
  </si>
  <si>
    <t xml:space="preserve">کود </t>
  </si>
  <si>
    <t xml:space="preserve">شرح </t>
  </si>
  <si>
    <t xml:space="preserve">دولت جمهوری اسلامی افغانستان </t>
  </si>
  <si>
    <t xml:space="preserve">خلاصه پلان ملی </t>
  </si>
  <si>
    <t xml:space="preserve">دیپارتمنت فرعی </t>
  </si>
  <si>
    <t xml:space="preserve">تمام معاملات ثبت شده وثبت ناشده </t>
  </si>
  <si>
    <t>مجموع سال</t>
  </si>
  <si>
    <t xml:space="preserve">جدی </t>
  </si>
  <si>
    <t xml:space="preserve">دلو </t>
  </si>
  <si>
    <t xml:space="preserve">حوت </t>
  </si>
  <si>
    <t xml:space="preserve">ميزان </t>
  </si>
  <si>
    <t xml:space="preserve">چاپ مواد نشراتی وآموزشی علفچرونباتات طبی </t>
  </si>
  <si>
    <t xml:space="preserve">نظارت وارزیابی پروژه </t>
  </si>
  <si>
    <t xml:space="preserve">احیا وحفاظت قوریه </t>
  </si>
  <si>
    <t xml:space="preserve">استخدام (16) نفر محافظین </t>
  </si>
  <si>
    <t>خریداری تجهزات ،روغنیات مواد ووسایل کار</t>
  </si>
  <si>
    <t>غلام دستگیر سروری</t>
  </si>
  <si>
    <t>محمد رفیع قاضی زاده</t>
  </si>
  <si>
    <t>رئیس عمومی منابع طبیعی</t>
  </si>
  <si>
    <t>استخدام کارمند فنی برای 9 ماه</t>
  </si>
  <si>
    <t xml:space="preserve">اسدالله ضمیر </t>
  </si>
  <si>
    <t xml:space="preserve"> وزیر زراعت، آبیاری ومالدای</t>
  </si>
  <si>
    <t>تصدیق کننده</t>
  </si>
  <si>
    <t>تصدیق کننده:</t>
  </si>
  <si>
    <t xml:space="preserve">                  توحید کننده:</t>
  </si>
  <si>
    <t>رفاع الدین امینی</t>
  </si>
  <si>
    <t>مدیر عمومی پلان و هماهنگی پروژه ها</t>
  </si>
  <si>
    <t xml:space="preserve">                  مرور و چک کننده گان </t>
  </si>
  <si>
    <t>مرور و چک کننده:</t>
  </si>
  <si>
    <t>توحید کننده:</t>
  </si>
  <si>
    <t>مدیری عمومی پلان و هماهنگی پروژه ها</t>
  </si>
  <si>
    <t xml:space="preserve">           انجنیر راز محمد راز </t>
  </si>
  <si>
    <t xml:space="preserve">     معین آبیاری ومنابع طبیعی </t>
  </si>
  <si>
    <t>قیمت فی واحد</t>
  </si>
  <si>
    <t>خریداری روغنیات برای تیم ساحوی غرض نظارت از روند تطبیق پروژه و موتر سایکل های محافظین ضم ترمیم موترسایکل های محافظین</t>
  </si>
  <si>
    <t>حفر چهار حلقه ذباله دانی برای پارک ملی بندامیر</t>
  </si>
  <si>
    <t xml:space="preserve">ترمیم دفتر سابقه پارک ( مرکز سیاحین) </t>
  </si>
  <si>
    <t>1/10/1395</t>
  </si>
  <si>
    <t>30/9/1396</t>
  </si>
  <si>
    <t xml:space="preserve">کیلوگرام </t>
  </si>
  <si>
    <t>تعداد</t>
  </si>
  <si>
    <t>انکشاف و بهبود 500 طویله خانگی مواشی مردم غرض مصون ساختن مواشی از گزند حیوانات وحشی</t>
  </si>
  <si>
    <t>خریداری 16 متر پیپ آهنی 6 انج برای انتقال آب غرض آبیاری نهالها در پل مالان</t>
  </si>
  <si>
    <t>ایجاد 10 باب سایه بان از چوب خار در پارک ملی بند امیر</t>
  </si>
  <si>
    <t xml:space="preserve">اداره تدارکات ملی
ریاست پالیسی تدارکات
امریت انسجام پلان های تدارکاتی
فورم پلان تدارکاتی  ریاست تهیه وتدارکات وزارت زراعت ابیاری ومالداری سال مالی 1396
</t>
  </si>
  <si>
    <t>زراعت وانکشاف دهات</t>
  </si>
  <si>
    <t>AFG/390504</t>
  </si>
  <si>
    <t>اعمار یکباب تعمیر  چهار اتاقه با تمام ملحقات مورد ضرورت درولایت میدان وردک</t>
  </si>
  <si>
    <t>کارتمام</t>
  </si>
  <si>
    <t>تاریخ تهعد مالی</t>
  </si>
  <si>
    <t>5/10/1395</t>
  </si>
  <si>
    <t>6/11/1395</t>
  </si>
  <si>
    <t>8/11/1395</t>
  </si>
  <si>
    <t>12/11/1395</t>
  </si>
  <si>
    <t>13/11/1395</t>
  </si>
  <si>
    <t>17/11/1395</t>
  </si>
  <si>
    <t>20/11/1395</t>
  </si>
  <si>
    <t>اگر گرانتی یا ورانتی در نظر گرفته شده باشد معیاد ان ذکر گردد</t>
  </si>
  <si>
    <t>مدت کار پروژه جمع تاریخ عقد قرارداد گردد</t>
  </si>
  <si>
    <t>حفر یک حلقه چاه عمیق با نصب واترپمپ سولر انرژی چها انچه درولایت میدان وردک</t>
  </si>
  <si>
    <t>اعمار دیوار واحاطه بطول (2400) متر فنس درولایت میدان وردک</t>
  </si>
  <si>
    <t>اعمار تعمیردو اتاق فارم تاشلی گذربشکل پخته درولایت فاریاب</t>
  </si>
  <si>
    <t>اعمار کانال آبیاری فارم قوریه فارم جدید درولایت ننگرهار</t>
  </si>
  <si>
    <t xml:space="preserve">ترمیم وتعویض دروازه وکلکین تعمیر قوریه فارم جدیددرولایت ننگرهار </t>
  </si>
  <si>
    <t>حفر یک حلقه چاه عمیق با امورایجابی ونصب واتر پمپ سولری با تمام ملحقات مورد ضرورت آن درولایت کنده هار</t>
  </si>
  <si>
    <t>حفر یک حلقه عمیق با ملحقات مورد ضرورت ونصب یک پایه واتر پمپ سولری با تمام امور ایجابی آن درولایت زابل</t>
  </si>
  <si>
    <t>اعمار یکباب تعمیر  چهار اتاقه با تمام ملحقات مورد ضرورت درولایت ارزگان</t>
  </si>
  <si>
    <t>حفر یک حلقه چاه عمیق با نصب واترپمپ سولر انرژی چها انچه درولایت ارزگان</t>
  </si>
  <si>
    <t>اعمار دیوار احاطه بطول (2120) متر فارم کرنا بشکل پخته واساسی درولایت ارزگان</t>
  </si>
  <si>
    <t>نوت : فارمت به زبان دری وسال ان هجری  1395 باشد ودرسال اینده فی دالررا به 63 افغانی وزارت مالیه نرخ داده است</t>
  </si>
  <si>
    <t>ترتیب کننده :
نام : میر عبدالقادر (میرپور)
وظیفه : مدیرپلانگذاری
امضآ :</t>
  </si>
  <si>
    <t>تصدیق کننده :
نام  دکترایمل شینواری
وظیفه : رئیس تهیه وتدارکات
امضا :</t>
  </si>
  <si>
    <t>منظور کننده :
نام : اسدالله (ضمیر)
وظیفه :وزیر زراعت ابیاری ومالداری
امضآ :</t>
  </si>
  <si>
    <t>جدول معلومات ووجوه پیشنهادی سال های 1396 - 1398 پروژه های انکشافی درحال جریان جهت ترتیب متحدالمال شماره دوم بودجه</t>
  </si>
  <si>
    <t>1- شرح مختصرپروژه</t>
  </si>
  <si>
    <t>نام پروژه</t>
  </si>
  <si>
    <t>سال شروع</t>
  </si>
  <si>
    <t>سال ختم</t>
  </si>
  <si>
    <t>شرح مختصرفعالیت های پروژه</t>
  </si>
  <si>
    <t xml:space="preserve">برنامه ملی تنظیم منابع طبیعی بخش سرسبزی ، احیای فارمها ومراکز تکثیری وآموزشی </t>
  </si>
  <si>
    <t>1/10/1396</t>
  </si>
  <si>
    <t>نام / شرح فعالیت های عمده</t>
  </si>
  <si>
    <t>بودجه پیشنهادی به دالر</t>
  </si>
  <si>
    <t xml:space="preserve">1- استخدام 16 نفر محافظین قوریجات </t>
  </si>
  <si>
    <t>2 - احیا وحفاظت قوریجات ( اجرای عملیات تخنیکی )</t>
  </si>
  <si>
    <t xml:space="preserve">3- جنگل کاری به اشتراک مردم </t>
  </si>
  <si>
    <t xml:space="preserve">4- اعمار دیوار احاطه فارم کرنا ولایت ارزگان ومیدان وردک </t>
  </si>
  <si>
    <t>5- اعمار تعمیرقوریه های فارم کرنا ارزگان ، میدان وردک وفاریاب</t>
  </si>
  <si>
    <t>6-ترمیم تعمیر قوریه فارم جدید ولایت ننگرهار</t>
  </si>
  <si>
    <t>7- اعمار کانال آبیاری قوریه فارم جدید ولایت ننگرهار</t>
  </si>
  <si>
    <t xml:space="preserve">8- حفر چاه های عمیق ونصب واترپمپ های  سولری درفارم های ولایات میدان وردک ، کندهار ، ارزگان وزابل </t>
  </si>
  <si>
    <t xml:space="preserve">9- خریداری مواد ، تجهیزات وروغنیات </t>
  </si>
  <si>
    <t xml:space="preserve">2- عمده ترین دست آوردهای پروژه </t>
  </si>
  <si>
    <t>دست آوردهای کلیدی سال های 1393 الی 1395</t>
  </si>
  <si>
    <t>دست آوردهای سال جاری که حاصل ویاتوقع میرود که الی اخیرسال مالی 1395حاصل گردد</t>
  </si>
  <si>
    <t xml:space="preserve">1- بهبود محیط زیست وگسترش سرسبزی درشهر ها وحومه آن </t>
  </si>
  <si>
    <t xml:space="preserve">1-تولید سالانه بیشتراز 3 ملیون اصله نهال های مختلف النوع جنگلاتی در سراسر کشور </t>
  </si>
  <si>
    <t xml:space="preserve">2- تولید نهال های باکیفیت وتوزیع آن طبق طرزالعمل به متقاضیان آن </t>
  </si>
  <si>
    <t xml:space="preserve">2- جلوگیری ازغصب ساحات فارم ها توسط اشخاص غیرمسول </t>
  </si>
  <si>
    <t>3- گسترش سرسبزی وتقویه اقتصاد دهاقین از طریق احداث جنگل باغ های چنار</t>
  </si>
  <si>
    <t xml:space="preserve">4- آگاهی دهی درمورد اهمیت نهالشانی </t>
  </si>
  <si>
    <t xml:space="preserve">4- تنظیم سیتم آبیاری فارم ها </t>
  </si>
  <si>
    <t xml:space="preserve">5- تجهیز فارم با وسایل ووسایط مورد ضرورت </t>
  </si>
  <si>
    <t>3- تفصیل مالی پروژه های انکشافی درحال اجرا</t>
  </si>
  <si>
    <t>تفصیل پروژه های انکشافی (پروژه های درحال اجرا)</t>
  </si>
  <si>
    <t>مصارف پروژه های انکشافی به دالر</t>
  </si>
  <si>
    <t xml:space="preserve">موقعیت </t>
  </si>
  <si>
    <t>مصارف حقیقی</t>
  </si>
  <si>
    <t>فیصدی پیشرفت کارپروژه</t>
  </si>
  <si>
    <t>بودجه منظورشده</t>
  </si>
  <si>
    <t>بودجه پیشنهادی یا پلان شده به دالر</t>
  </si>
  <si>
    <t>مصارف ازشروع پروژه الی ختم سال 1394</t>
  </si>
  <si>
    <t xml:space="preserve"> پیش بینی شده الی ختم سال 1395</t>
  </si>
  <si>
    <t xml:space="preserve">مجموع بودجۀ پروژه </t>
  </si>
  <si>
    <t>تقسیمات مصارف انجام شده وبودجه پیشنهادی سال مالی 1395 به تفکیک کودها وولایات</t>
  </si>
  <si>
    <t xml:space="preserve">نام ولایت </t>
  </si>
  <si>
    <t>سال مالی 1395 ( ارقام به دالر )</t>
  </si>
  <si>
    <t>بودجه پیشنهادی سال مالی 1396 به دالر</t>
  </si>
  <si>
    <t>بودجه پلان شده سال 1397</t>
  </si>
  <si>
    <t>بودجه پلان شده سال 1398</t>
  </si>
  <si>
    <t>مصرف حقیقی انجام شده</t>
  </si>
  <si>
    <t>مصارف متوقعه الی اخیرسال</t>
  </si>
  <si>
    <t>اجناس وخدمات (کود22)</t>
  </si>
  <si>
    <t>دارایی ها وتجهیزات (کود25)</t>
  </si>
  <si>
    <t>کانال ننگرهار</t>
  </si>
  <si>
    <t>وردک</t>
  </si>
  <si>
    <t>3- تشکیل / تعدادکارمندان</t>
  </si>
  <si>
    <t xml:space="preserve">نام پروژه </t>
  </si>
  <si>
    <t>تعداد کارمندان استخدام شده موجود</t>
  </si>
  <si>
    <t>تعدادکارمندانیکه درنظراست تا فعالیت های پروژه را به پیش ببرد</t>
  </si>
  <si>
    <t>زن</t>
  </si>
  <si>
    <t>مرد</t>
  </si>
  <si>
    <t>4- موثریت دربخش کاهش فقروتساوی جندر</t>
  </si>
  <si>
    <t xml:space="preserve">آیا موضوع کاهش فقر و یا تساوی جنسیت درین پروژه درنظر گرفته شده است یا خیر؟ </t>
  </si>
  <si>
    <t>در زمینه چگونگی مؤثریت این فعالیت در بخش کاهش فقر و تساوی جندرمعلومات لازم را بشکل مختصر درج نمائید.</t>
  </si>
  <si>
    <t xml:space="preserve">کاهش فقر </t>
  </si>
  <si>
    <t>با احیای وحفاظت قوریجات  تولید نهال های  زراعتی ازدیاد می یابد. همچنان از طریق ارتقای ظرفیت دهاقین درقسمت تولید نهال واحدات قوریجات  ازدیاد می یابد  که در کاهش فقر خانوادګی در روستای تحت پلان دراقتصاد روستا ها ممد واقع میگردد</t>
  </si>
  <si>
    <t xml:space="preserve">تساوی جنسیت (تساوی جندر) </t>
  </si>
  <si>
    <t>از اینکه پروژه مذکور یک بخش ازمحیط زیست بوده ودراکثر فعالیت های تخنیکی قوریه استخدام طبقه اناث ضرورت بوده ودر تمام ولایات تساوی جندردرنظرگرفته میشود</t>
  </si>
  <si>
    <t>فیصد</t>
  </si>
  <si>
    <t>تعداد مستفیدشوندگان زن که بصورت مستقیم ازپروژه نفع میبرند</t>
  </si>
  <si>
    <t>تعداد مستفیدشوندگان زن که بصورت غیر مستقیم ازپروژه نفع میبرند</t>
  </si>
  <si>
    <t>بصورت مشخص چی مقدارازبودجه پیشنهادی شما ممکن درراستای تساوی جندربمصرف برسد.</t>
  </si>
  <si>
    <t>فیصدی مشترکین زن در تطبیق پروژه</t>
  </si>
  <si>
    <t>تاثیر بالای استخدام ( تعداد افراد که جدیدآ به کار گماشته خواهند شد )</t>
  </si>
  <si>
    <r>
      <rPr>
        <sz val="14"/>
        <rFont val="2  Nazanin"/>
        <charset val="178"/>
      </rPr>
      <t xml:space="preserve">این برنامه دارای 4 بخش عمده ذیل مبیاشد: 
</t>
    </r>
    <r>
      <rPr>
        <b/>
        <sz val="12"/>
        <rFont val="2  Nazanin"/>
        <charset val="178"/>
      </rPr>
      <t>الف: احیاوحفاظت جنگلات،آبریزه هاوتنظیم رفع حاصل محصولات جنگل</t>
    </r>
    <r>
      <rPr>
        <sz val="12"/>
        <rFont val="2  Nazanin"/>
        <charset val="178"/>
      </rPr>
      <t xml:space="preserve">
(1) احیا و حفاظت جنگلات، ابریزه ها  و  ارزش افزائی محصولات جنگل به منظور بهبود محیط زیست و معیشت جوامع محل در ساحه 1610هکتار هکتار در سال 1395
</t>
    </r>
    <r>
      <rPr>
        <b/>
        <sz val="12"/>
        <rFont val="2  Nazanin"/>
        <charset val="178"/>
      </rPr>
      <t>ب: تنظیم همه جانبه علفچرهاونباتات طبی</t>
    </r>
    <r>
      <rPr>
        <sz val="12"/>
        <rFont val="2  Nazanin"/>
        <charset val="178"/>
      </rPr>
      <t xml:space="preserve">
(1) تنظیم همه جانبه علفچرها به اشتراک جوامع محلی، احیاء 510 هکتار ساحه علفچر تخریب شده ، تثبیت 105 هکتار ریکهای روان و احیای 55 هکتار نباتات طبی
(2) تطبیق سیستم سلوی - پاسچر در ساحه 10 هکتار به منظور تولید علوفه برای تقویه درآمد مالداران وجلوگیری از فرسایش خاک وتخریب علفچرها ونباتات طبی .
</t>
    </r>
    <r>
      <rPr>
        <b/>
        <sz val="12"/>
        <rFont val="2  Nazanin"/>
        <charset val="178"/>
      </rPr>
      <t>ج :(4) انکشاف جنگلات مصنوعی و سرسبزی در شهر ها و کمربند شهری کابل</t>
    </r>
    <r>
      <rPr>
        <sz val="12"/>
        <rFont val="2  Nazanin"/>
        <charset val="178"/>
      </rPr>
      <t xml:space="preserve">
احیا 244 جریب زمین فارم ها،تولید حدود 2 ملیون نهال برای سرسبزی وتوسعه180 جریب زمین  جنگل باغ  چنار.
</t>
    </r>
    <r>
      <rPr>
        <b/>
        <sz val="12"/>
        <rFont val="2  Nazanin"/>
        <charset val="178"/>
      </rPr>
      <t xml:space="preserve">د:) انکشاف ایکوسیستم های با ارزش طبیعی
</t>
    </r>
    <r>
      <rPr>
        <sz val="12"/>
        <rFont val="2  Nazanin"/>
        <charset val="178"/>
      </rPr>
      <t>حفاظت وتنظیم ایکوسیستم های بار ارزش طبیعی، بهبود معیشت مردم  و تقویت اقتصاد ملی ازطریق تنظیم  ساحات حفاظت شده وحیات وحش به اشتراک جوامع محلی</t>
    </r>
    <r>
      <rPr>
        <b/>
        <sz val="12"/>
        <rFont val="2  Nazanin"/>
        <charset val="178"/>
      </rPr>
      <t xml:space="preserve"> .</t>
    </r>
    <r>
      <rPr>
        <sz val="12"/>
        <rFont val="2  Nazanin"/>
        <charset val="178"/>
      </rPr>
      <t xml:space="preserve">
</t>
    </r>
  </si>
  <si>
    <t>سال 1396</t>
  </si>
  <si>
    <t>مجموع بودجه به دالر</t>
  </si>
  <si>
    <r>
      <rPr>
        <b/>
        <sz val="9"/>
        <rFont val="Arial"/>
        <family val="2"/>
      </rPr>
      <t xml:space="preserve"> تنظیم همه جانبه علفچر ها و نباتات طبی مبنی بر مشارکت جامعه:</t>
    </r>
    <r>
      <rPr>
        <sz val="9"/>
        <rFont val="Arial"/>
        <family val="2"/>
      </rPr>
      <t xml:space="preserve">
1. تشکیل ( 31 ) انجمن در ولایات بادغیس، بامیان ، بدخشان، بغلان، بلخ، پروان، تخار، جوزجان، سرپل، سمنگان، غور ، غزنی ، فاریاب، فراه  وهرات 
2. احیای طبیعی علفچر به مساحت 1300 هکتار درولایات بادغیس، بامیان ، بدخشان، بغلان،بلخ ، پروان، تخار، جوزجان، سرپل، سمنگان، غور ، غزنی وهرات 
3. احیای مصنوعی نباتات طبی هنگ وشرین بویه به مساحت 170 هکتار درولایات بدخشان، بغلان، بلخ، تخار، جوزجان، سمنگان، سرپل، غور ، فراه وهرات .
4.ارتقای ظرفیت کارمندان علفچر وجامعه محلی واعضای انجمن ها در حدود بیشتر از341 نفر .
5. تثبیت ریکهای روان به مساحت 200 هکتار با غرس 200000 اصله نهال گز،  سکساول وتاغ درولایات بلخ ، جوزجان، فاریاب ، فراه ،  وهرات .
6. ایجاد 20 کیلومتر کمر بند سبز ( بادشکن )جهت کاهش باد وطوفان در ولایت فاریاب .
7. تجهیز 1دفتر ولایتی ومرکز تولیدی وتکثیری با وسایل افزار کار  درولایت بامیان .
8. استخدام وتوظیف 15 نفر کارمندفنی وتخنیکی لیسانسه زراعت مخصوصا منابع طبیعی
9. استخدام 49 نفر محافظ برای حفاظت علفچرهای طبیعی ولایات ادغیس، بامیان ، بدخشان، بغلان، بلخ، پروان، تخار، جوزجان، سرپل، سمنگان، غور ، غزنی ، فاریاب، فراه  وهرات 
10. نظارت و ارزیابی از ساحات تحت پوشش 15 ولایت تحت فعالیت پروژه 
</t>
    </r>
  </si>
  <si>
    <t>ترتیب کننده  :</t>
  </si>
  <si>
    <t>مرور و چک کننده :</t>
  </si>
  <si>
    <t>اداره تدارکات ملی</t>
  </si>
  <si>
    <t>ریاست پالیسی تدارکات ملی</t>
  </si>
  <si>
    <t>آمریت انسجام پلان های تدارکاتی</t>
  </si>
  <si>
    <t>فورمه گزارش (6 ماهه) از تطبیق پلانهای تدرکاتی ( به شمول ولایات) وزارت/اداره: (                                                                                ) 1396</t>
  </si>
  <si>
    <t>نوع بودجه( عادی/انکشافی)</t>
  </si>
  <si>
    <t>کود بودجه</t>
  </si>
  <si>
    <t>عنوان/ نام پروژه در بودجه منظور شده</t>
  </si>
  <si>
    <t>نوع قرار داد</t>
  </si>
  <si>
    <t>ترجیع تدارکات از منابع داخلی</t>
  </si>
  <si>
    <t>شماره قرار داد</t>
  </si>
  <si>
    <t>تاریخ موافقه کتبی تمویل کننده یا وزارت مالیه در مورد وجوه مالی</t>
  </si>
  <si>
    <t>روش تدارکات( درصورت استفاده از شیوه های دیگردلایل آن واضیح گردد)</t>
  </si>
  <si>
    <t>قیمت تدارکات/پروژه به (افغانی)</t>
  </si>
  <si>
    <t>تاریخ منظوری آغاز پروسه تدرکات/پروژه</t>
  </si>
  <si>
    <t>تاریخ اعلان تدارکات /پروژه</t>
  </si>
  <si>
    <t>تاریخ بازگشایی آفرها</t>
  </si>
  <si>
    <t>تاریخ آغاز ارزیابی آفرها</t>
  </si>
  <si>
    <t>تاریخ ختم ارزیابی آفرها</t>
  </si>
  <si>
    <t>تاریخ ارایه گزارش ارزیابی</t>
  </si>
  <si>
    <t>تاریخ نشر اطلاعیه تصمیم بر اعطای قرار داد</t>
  </si>
  <si>
    <t>تاریخ امضا قرار داد</t>
  </si>
  <si>
    <t>تاریخ تکمیل پروژه/ قرارداد</t>
  </si>
  <si>
    <t>زراعت</t>
  </si>
  <si>
    <t>دولت</t>
  </si>
  <si>
    <t>اعمار یک باب اطاق محافظین و یک باب تشناب در کول حشمت خان کابل</t>
  </si>
  <si>
    <t>باز</t>
  </si>
  <si>
    <t>15/10/1395</t>
  </si>
  <si>
    <t>پاک کاری جوی مستان و ساحه داخل کول حشمت خان با انتقال کثافات آن</t>
  </si>
  <si>
    <t>15/10/135</t>
  </si>
  <si>
    <t>ایجاد 2000 متر پیاده رو معه سیستم ایمنی(کتاره) از گل بیک الی بند ذوالفقار پارک ملی بند امیر ولایت بامیان</t>
  </si>
  <si>
    <t>هموار کاری و جغل اندازی به ضخامت 10 سانتی متر غرض ایجاد پارکنگ در بند امیر بامیان</t>
  </si>
  <si>
    <t>ایجاد 4 باب محل تماشا و 5 باب تشناب بد رفت در پارک ملی بند امیر</t>
  </si>
  <si>
    <t>اعمار کانال آبیاری قوریه فارم جدید ولایت ننگرهار</t>
  </si>
  <si>
    <t>هکتار</t>
  </si>
  <si>
    <t>لیسانس زراعت</t>
  </si>
  <si>
    <t>1میزان</t>
  </si>
  <si>
    <t>اجدی</t>
  </si>
  <si>
    <t>30 قوس</t>
  </si>
  <si>
    <t>31 قوس</t>
  </si>
  <si>
    <t xml:space="preserve">ابیار توسط اب پاش </t>
  </si>
  <si>
    <t>12 جدی</t>
  </si>
  <si>
    <t xml:space="preserve">شناسایی انجمن علفچر ونباتات طبی </t>
  </si>
  <si>
    <t xml:space="preserve">تثبیت ریگ های روان </t>
  </si>
  <si>
    <t xml:space="preserve">تهیه قلمه گز، تاغ وسکساول </t>
  </si>
  <si>
    <t>غرس قلمه گز، تاغ وسکساول</t>
  </si>
  <si>
    <t xml:space="preserve">حفرچقرک برای غرس نهال ریشه </t>
  </si>
  <si>
    <t xml:space="preserve">غرس نهال ریشه گز، تاغ وسکساول </t>
  </si>
  <si>
    <t xml:space="preserve">خنجان </t>
  </si>
  <si>
    <t>خریداری قیجی شاخه بری فیلکو</t>
  </si>
  <si>
    <t xml:space="preserve">دسته </t>
  </si>
  <si>
    <t xml:space="preserve">ابیاری توسط اب پاش </t>
  </si>
  <si>
    <t>ناهور</t>
  </si>
  <si>
    <t>اندخوی</t>
  </si>
  <si>
    <t>حفر1700 متر جر(کانال) محافظتی و احصار سبز با غرس 6000 اصله نهال بومی بادر نظر داشت حفظ حالت طبیعی ساحه</t>
  </si>
  <si>
    <t>ترتیب کننده گان :</t>
  </si>
  <si>
    <t xml:space="preserve">مرور و چک کننده گان </t>
  </si>
  <si>
    <t>جز د: انکشاف ایکوسیستم های با ارزش طبیعی</t>
  </si>
  <si>
    <t>ایجاد 150 جریب جنگل باغ های چنار</t>
  </si>
  <si>
    <t>اعمار تعمیرات  قوریه تاشلی گذر ولایت فاریاب</t>
  </si>
  <si>
    <t xml:space="preserve">ترمیم تعمیر فارم جدید ولایت ننگرهار وجنگل باغ شبرغان </t>
  </si>
  <si>
    <t xml:space="preserve">ترمیم تعمیر وحوض آبیازی جنگل باغ شبرغان </t>
  </si>
  <si>
    <t xml:space="preserve">اعمار کانال آبیاری فارم قوریه فارم جدید </t>
  </si>
  <si>
    <t xml:space="preserve">فعالیتهای عمده </t>
  </si>
  <si>
    <t>شماره پروژه درسند بودجه(            )</t>
  </si>
  <si>
    <t>احیا و حفاظت جنگلات و تننظیم ابریزه ها</t>
  </si>
  <si>
    <t xml:space="preserve">تاریخ آغاز برنامه/پروژه: </t>
  </si>
  <si>
    <t xml:space="preserve">تاریخ ختم برنامه/ پروژه: </t>
  </si>
  <si>
    <t>در اثر جنگهای سه دهه اخیر جنگلات طبیعی کشور که متضمن تحفظ و توازن محیط، رشد معیشت جوامع محلی  و ممد پدیده حیات است وسیعا قطع و یا طعمه حریق های مدهش گردیده اند. که در نتیجه آن وقایع تخریب خاک،جاری شدن سیلابها افزایش یافته  و به تولیدات محصولات جنگلاتی مانند پسته، جلغوزه و سایر نباتات غذایی داخل جنگل و اقتصاد کشور صدمه شدید وارد گردیده است.در این پروژه برای مدت یک سال در نظر است که ساحه مجموعی ( 1239  ) هکتار جنگلات پسته ، جلغوزه، بادام کوهی توسط انجمنها تحت احیا و حفاظت قرار گیرد. . در بخش ارزش افزائی محصولات جنگل قرار است که 420 انجمن اموزش داده شود که چگونه میوه پسته و یا جلغوزه را بعد از پخته شدن کامل جمع آوری، پروسس، بسته بندی و ذخیره نماید .ت . در نتیجه با تطبیق فعالیت های فوق محیط زیست ، معیشت محلی و عواید ملی بهبود می یابد.</t>
  </si>
  <si>
    <t xml:space="preserve">احیا و حفاظت جنگلات ، حفاظت آب و خاک و  ارزش افزائی محصولات جنگل به منظور بهبود محیط زیست و معیشت جوامع محل </t>
  </si>
  <si>
    <t xml:space="preserve">معلومات مفصل در مورد  همکاران برنامه/پروژه: </t>
  </si>
  <si>
    <t xml:space="preserve">وزارت زراعت ، ابیاری و مالداری </t>
  </si>
  <si>
    <t>سید امین الله "فخری"</t>
  </si>
  <si>
    <t xml:space="preserve">sayedamin_58@yahoo.com </t>
  </si>
  <si>
    <t>وزارت زراعت ، ابیاری و مالداری</t>
  </si>
  <si>
    <t xml:space="preserve">21 ولایت </t>
  </si>
  <si>
    <t>زراعت و انکشاف دهات</t>
  </si>
  <si>
    <t>تنظیم منابع طبعی</t>
  </si>
  <si>
    <t>جندر، محیط زیست ، مبارزه با مواد مخدر، همکاریهای منطقوی و مبارزه با فساد ادآری</t>
  </si>
  <si>
    <t>تنظیم منابع طبیعی یکی از پروگرامهای چارچوب ملی انکاشاف زراعت (NADF) بوده  و در برنامه  اول اولویت دار ملی  (NPP1) "انکشاف منابع طبیعی و آب های ملی"  نیز به حیث یکی از برناه های اولویت دار گنجانیده شده است . احیا و حفاظت جنگلات و تنظیم آبریزه ها یکی از اجزای برنامه تنظیم منابع طبیعی میباشد که میتواند در طویل مدت اهداف اقتصادی ، محیطی و اجتماعی پلانهای استراتیژیک وزارت  و استراتیژی انکشاف ملی را تامین نماید.زیرا با تطبیق این پروژه در  سال اول ساحه  1239هکتار جنگلات پسته ، جلغوزه  بادام  کوهی و غیره تحت  احیا  حفاظت قرار داده میشود که نتیجه نهائی آن افزایش در محصولات جنگلات طبیعی از قبیل میوه پسته ،جلغوزه و محصولات چوبی بوده و عواید حاصله از ان در طویل مدت باعث رشد عواید ملی و محلی میگرد .</t>
  </si>
  <si>
    <t xml:space="preserve">قسمت دوم: جزئیات مالی( به هزار افغانی):  برای برنامه/پروژه جدید صرف آن معلوماتی که بدسترس شما قرار دارد ارایه نماید. </t>
  </si>
  <si>
    <t>اختیاری</t>
  </si>
  <si>
    <t>نوع کمک:</t>
  </si>
  <si>
    <t xml:space="preserve"> بلاعوض</t>
  </si>
  <si>
    <t xml:space="preserve"> تمویل کننده : دولت افغانستان</t>
  </si>
  <si>
    <t>حقیقی سال 1396</t>
  </si>
  <si>
    <t>تخمینی 1397</t>
  </si>
  <si>
    <t>موجودیت 2 نفر کارمندان در بخش بازنگری انجمنها و آموزش آنها در قسمت جمع آوری فنی میوه پسته در مرکز</t>
  </si>
  <si>
    <t xml:space="preserve">آموزش 420 انجمن جنگلداری در بخشهای پلان گذاری،احیا، حفاظت و جمع آوری محصولات پسته و جلغوزه ،پروسس و بسته بندی و ذخیره آن </t>
  </si>
  <si>
    <t xml:space="preserve">تدویر جلسات و ورکشاپهای آگاهی عامه در 13 ولایت برای جوامع محلی </t>
  </si>
  <si>
    <t xml:space="preserve">موجودیت حوامع آگاه  و مسلکی در ولایات بدخشان،تخار،کندز،بغلان،سمنگان،بلخ،جوزجان،سرپل،فاریاب،هرات و بادغیس  در رابطه به بهره برداری میوه پسته به شکل فنی </t>
  </si>
  <si>
    <t>موجودیت ( 1269) هکتار جنگلات احیا شده پسته، جلغوزه، بادام کوهی و یوکلپتوس</t>
  </si>
  <si>
    <t>ایجاد 81 پروژه عایداتی به منظور احیا و حفاظت جنگلات طبیعی پسته ، جلغوزه و بادام کوهی</t>
  </si>
  <si>
    <t>موجودیت 1000 مترمکعب چکدم در ولایات بدخشان، تخار،سمنگان،فاریاب،کاپیسا و غزنی</t>
  </si>
  <si>
    <t>حفاظت و آبیاری 209000 نهال پسته در ولایت بلخ ،110000نهال در ولایت غزنی و 6000 نهال در ولایت بامیان</t>
  </si>
  <si>
    <t>خریداری تخم پسته ، جلغوزه و بادام کوهی، روغنیات برای تانکرهای آبیاری ولایت بلخ، بدخشان و واترپمپ بامیان</t>
  </si>
  <si>
    <t xml:space="preserve">خریداری 1520 کیلو تخم پسته ، جلغوزه و بادام کوهی، </t>
  </si>
  <si>
    <t>خریداری 6060 لتر روغنیات برای تانکرهای آبیاری ولایت بلخ، بدخشان و واترپمپ بامیان</t>
  </si>
  <si>
    <t>اعمار 1000 متر مکعب چکدم در ولایات تخار و کاپیسا</t>
  </si>
  <si>
    <t>تطبیق فعالیتهای تخنیکی قوریه در ساحه 7 جریب در مرکز</t>
  </si>
  <si>
    <t xml:space="preserve">3.برنامه/پروژه مذکور سیستم اداره امور مالی کشور مارا  استفاده مینماید یاخیر؟ </t>
  </si>
  <si>
    <t xml:space="preserve">چالش های عمده درقسمت تطبیق پروژه عبارت اند از:
- منارعه بالاملکیت جنگلات  بین جوامع محلی هم مرز
- آگاهی ضعیف مردم از ارزش های ساحات حفاطت شده وحیات وحش
- ظرفیت ناکافی پرسونل ولایتی در تطبیق پروگرام ها.
- مشکلات امنیتی در بعضی اوقات.
- </t>
  </si>
  <si>
    <t>آدرس ایمیل</t>
  </si>
  <si>
    <t>موسسه یا داره مربوطه</t>
  </si>
  <si>
    <t>sayedamin_58@yahoo.com</t>
  </si>
  <si>
    <t>18/10/1392</t>
  </si>
  <si>
    <t>امریت تنظیم جنگلات و آبریزه ها</t>
  </si>
  <si>
    <t>آمر تنظیم جنگلات و آبریزه ها</t>
  </si>
  <si>
    <t xml:space="preserve">ج </t>
  </si>
  <si>
    <t>بودجه اختیاری یاغیراختیاری</t>
  </si>
  <si>
    <t>ولایت</t>
  </si>
  <si>
    <t>نوع تدارکات</t>
  </si>
  <si>
    <t>روش یاشیوه تدارکات(درصورت استفاده ازشیوه های دیگردلایل واضع گردد)</t>
  </si>
  <si>
    <t>کتگوری تدارکات</t>
  </si>
  <si>
    <t>پروژه پلان شده جدیدیاانتقالی سال های قبل</t>
  </si>
  <si>
    <t>مبلغ منظورشده بودجه</t>
  </si>
  <si>
    <t>تاریخ ختم ارزیابی قبلی اهلیت داوطلبان درصورت که لازم باشد</t>
  </si>
  <si>
    <t>میعادپروژه</t>
  </si>
  <si>
    <t xml:space="preserve">تاریخ تخمینی تکمیل پروژه </t>
  </si>
  <si>
    <t xml:space="preserve">اعمار تعمیردو اتاق فارم تاشلی گذربشکل پخته </t>
  </si>
  <si>
    <t>ترمیم احاطه جنگل باغ شبرغان بشکل پخته واساسی</t>
  </si>
  <si>
    <t xml:space="preserve">اعمار دیوار تخریب شده فارم کارته مامورین سمنگان </t>
  </si>
  <si>
    <t xml:space="preserve">ترمیم وتعویض دروازه وکلکین تعمیر قوریه فارم جدید </t>
  </si>
  <si>
    <t>کنده هار</t>
  </si>
  <si>
    <t>ترتیب کننده :
نام : 
وظیفه : 
امضآ :</t>
  </si>
  <si>
    <t>تصدیق کننده :
نام:
وظیفه : 
امضا :</t>
  </si>
  <si>
    <t>منظور کننده :
نام : 
وظیفه :
امضآ :</t>
  </si>
  <si>
    <t xml:space="preserve">قیمت به دالر </t>
  </si>
  <si>
    <t>وضعیت</t>
  </si>
  <si>
    <t xml:space="preserve">احیایی 50 هکتارزمین للمی مخروبه توسط تکثیررشقه للمی </t>
  </si>
  <si>
    <t>تهیه وخریداری وسایل ، وسایط وتجهیزات (  موترسایکل، آبپاش ، کودعضوی، کیمیاوی، قیچی و غیره )</t>
  </si>
  <si>
    <t xml:space="preserve">خریداری 7جوره یونیفورم برای محافظین دشت ناور و پل مالان </t>
  </si>
  <si>
    <t>فعالیت ها</t>
  </si>
  <si>
    <t>10/1395</t>
  </si>
  <si>
    <t>مجموع بودجه افغانی</t>
  </si>
  <si>
    <t xml:space="preserve"> الف : احیا وحفاظت جنگلات ، تنظیم ابریزه ها وارزش افزای  محصول جنگل :
</t>
  </si>
  <si>
    <t xml:space="preserve"> ب : تنظیم همه جانبه علفچر ها و نباتات طبی مبنی بر مشارکت جامعه:</t>
  </si>
  <si>
    <t xml:space="preserve">ج : احیای فارمهای تولید وتکثیری نهالها جهت سرسبز وگسترش فضای سبز </t>
  </si>
  <si>
    <t xml:space="preserve">د: انکشاف ایکوسیستم های با ارزش طبیعی </t>
  </si>
  <si>
    <t>30عقرب</t>
  </si>
  <si>
    <t>کند هار</t>
  </si>
  <si>
    <t xml:space="preserve">کرایه  به منظور  نظارت  از فعالیتهای جاری و سالهای گذشته ،و مراقبت از جنگلات طبیعی و جلسات آگاهی عامه با انجمنها   </t>
  </si>
  <si>
    <t xml:space="preserve">تدویر جلسات آگاهی عامه در رابطه به اهمیت و حفاظت جنگلات و قانون تظیم امور جنگلات در ولایت کنر </t>
  </si>
  <si>
    <t>خردیاری 10 باب سایه بان برای محافظین</t>
  </si>
  <si>
    <t>حفر چقرک و بذر 10 هکتار جلغوزه در ولایت لوگر</t>
  </si>
  <si>
    <t>30/9/1397</t>
  </si>
  <si>
    <t>1/10/1397</t>
  </si>
  <si>
    <t>جز الف:  احیا و حفاظت جنگلات، تنظیم ابریزه ها و زنجیره ارزش افزایی محصولات جنگل</t>
  </si>
  <si>
    <t>ضمیمه 5. پلان مالی سالانه برای سال 1396</t>
  </si>
  <si>
    <t xml:space="preserve">مجموع بودجه برنامه ملی منابع طبیعی  </t>
  </si>
  <si>
    <t>استخدام یکنفر متخصص  یکنفرکارمندان  در مرکز جهت ارتقای ظرفیت جوامع محل دربخش جمع آوری میوه پسته و جلغوزه</t>
  </si>
  <si>
    <t xml:space="preserve"> </t>
  </si>
  <si>
    <t xml:space="preserve">ترتیب کننده گان </t>
  </si>
  <si>
    <t>احمد شاه امرخیل</t>
  </si>
  <si>
    <t>احمد ضیا میرزاده</t>
  </si>
  <si>
    <t xml:space="preserve">وظیفه </t>
  </si>
  <si>
    <t>آمر احیاء و حفاظت جنگلات و تنظیم آبریزه ها</t>
  </si>
  <si>
    <t>آمر احیاء و توسعه جنگلات</t>
  </si>
  <si>
    <t>آمر تنظیم علفچر ها</t>
  </si>
  <si>
    <t>مدیر نظارت و گزارش دهی</t>
  </si>
  <si>
    <t>________________</t>
  </si>
  <si>
    <t>توحید کننده</t>
  </si>
  <si>
    <t>محمد عارف حسینی</t>
  </si>
  <si>
    <t>سید رحمن زیارمل</t>
  </si>
  <si>
    <t xml:space="preserve">رفاع الدین امینی </t>
  </si>
  <si>
    <t>رئیس ساحات حفاظت شده</t>
  </si>
  <si>
    <t xml:space="preserve">:تصدیق کننده </t>
  </si>
  <si>
    <t>منظور کننده :</t>
  </si>
  <si>
    <t xml:space="preserve">اسد الله ضمیر </t>
  </si>
  <si>
    <t xml:space="preserve">معین آبیاری ومالداری </t>
  </si>
  <si>
    <t xml:space="preserve">وزیر زراعت ، آبیاری ومالداری </t>
  </si>
  <si>
    <t>احمد ضیاء میرزاده</t>
  </si>
  <si>
    <t>احمد شاه امر خیل</t>
  </si>
  <si>
    <t>معاش دونفر متخصص علفچر ونباتات طبی</t>
  </si>
  <si>
    <t xml:space="preserve"> انجنیر فهیم الله ضیائی  </t>
  </si>
  <si>
    <t>سال مالی</t>
  </si>
  <si>
    <t>ریاست علفچر</t>
  </si>
  <si>
    <t xml:space="preserve">ج 1: احیای فارم ها و جنگلباغ ها غرض سرسبزی و گسترش فضای سبز </t>
  </si>
  <si>
    <t xml:space="preserve">ضمیمه 5: </t>
  </si>
  <si>
    <t>برنامه</t>
  </si>
  <si>
    <t>معیاد</t>
  </si>
  <si>
    <t xml:space="preserve">بودجه تخمینی </t>
  </si>
  <si>
    <t>مسئولیت</t>
  </si>
  <si>
    <t xml:space="preserve">انجنیرفهیم  الله ضیائی  </t>
  </si>
  <si>
    <t>پلان مالی توحیدی سالانه برنامه ملی تنظیم منابع طبیعی سال 1396</t>
  </si>
  <si>
    <t xml:space="preserve">    انجنیر فهیم الله ضیائی </t>
  </si>
  <si>
    <t>ریاست عمومی منابع طبیعی / ریاست های ( جنگلات، علفجرها وساحات حفاظت شده )</t>
  </si>
  <si>
    <t xml:space="preserve">فعالیت ها </t>
  </si>
  <si>
    <t xml:space="preserve">بودجه </t>
  </si>
  <si>
    <t>استخدام  نگران برای 12 ماه</t>
  </si>
  <si>
    <t>ایجاد 28 پروژه   عایداتی غرض حفاظت ، بذر للمی پسته  و لمنز و قرغ نمودن آن در 5 ولایت .</t>
  </si>
  <si>
    <t xml:space="preserve"> آبیاری و حفاظت 395000 نهالهای پسته و جلغوزه و آبریزه ها </t>
  </si>
  <si>
    <t>تهیه 8490000 لیتر آب از منبع به ساحه در بخش جنگلات پسته و جلغوزه و آبریزه ها</t>
  </si>
  <si>
    <t>حفر چقرک و غرس 405750 اصله نهال های مختلف النوع در ولایات کنر  ، پنچشیر و بدخشان</t>
  </si>
  <si>
    <t>خریداری 405750 اصله نهال های مختف النوع در ولایات بدخشان ، پنجشیر ، کنر .</t>
  </si>
  <si>
    <t xml:space="preserve">خریداری 250 کیلو گرام تخم پسته ، لمنز و جلغوزه برای بذر للم و بذر مستقیم در ولایات تخار ، سمنگان ، هرات ، بادغیس ، کنر ، لوگر </t>
  </si>
  <si>
    <t>اعمار 1200 مترمکعب چکدم در ولایت تخار و کنر</t>
  </si>
  <si>
    <t>خریداری روغنیات برای ولایت بلخ، بدخشان، بامیان ، و خریداری 4 عراده زرنج ، 1454 متر ترپال و 100 بشکه 10 لیتره برای ولایت بلخ و 500 متر پیپ یک انچ رابری برای ولایت بامیان ، خریداری قیچی و کراچی برای ولایت بدخشان</t>
  </si>
  <si>
    <t>انکشاف و بهبود 250 طویله خانگی مواشی مردم غرض مصون ساختن مواشی از گزند حیوانات وحشی</t>
  </si>
  <si>
    <t>شناسایی تعداد 12 انجمن در12 ولایت</t>
  </si>
  <si>
    <t xml:space="preserve">تنظیم علفچرطبیعی 400  هکتارساحات علفچر ولایات  بدخشان، بغلان ، بلخ وتخار با حصار سیم خار دار ونصب پایه  چوبی  وتناوب  چرای مواشی </t>
  </si>
  <si>
    <t xml:space="preserve">احیاء 110 هکتارساحات نباتات طبی </t>
  </si>
  <si>
    <t>تدویرورکشاپ ارتقای ظرفیت برای 132نفراعضای انجمن</t>
  </si>
  <si>
    <t>تثبیت ریگهای روان درساحه 100 هکتار</t>
  </si>
  <si>
    <t xml:space="preserve">استخدام 12 نفرکارمندان ساحوی علفچرونباتات طبی </t>
  </si>
  <si>
    <t xml:space="preserve">استخدام 24 نفرکارگراجتماعی </t>
  </si>
  <si>
    <t>استخدام 37 نفر محافظ مرد،،4 نفر صفا کار زن،   2 نفر سوپروایزر برای پارک ملی بند امیر، واخان، کول حشمت خان، پل مالان و 4 نفر کارمند فنی غرض سروی های علمی و فنی ( تنوع حیات ساحه) برای دشت ناورغزنی</t>
  </si>
  <si>
    <t>مجموعه</t>
  </si>
  <si>
    <t>مبلغ (27621533) افغانی</t>
  </si>
  <si>
    <t>نطارت و ارزیابی از اجزای برنامه</t>
  </si>
  <si>
    <t>مجموع اجناس و خدمات</t>
  </si>
  <si>
    <t>دیپارتمنت فرعی</t>
  </si>
  <si>
    <t xml:space="preserve">خلاضه پلان مالی </t>
  </si>
  <si>
    <t>برنامه :تنظیم منابع طبیعی</t>
  </si>
  <si>
    <t xml:space="preserve">تمام معاملات- ثبت شده و ثبت نشده </t>
  </si>
  <si>
    <t xml:space="preserve">پلان مالی – انکشافی -1 </t>
  </si>
  <si>
    <t>مبلغ(  44637488 ) افغانی</t>
  </si>
  <si>
    <t xml:space="preserve">اعماردیواراحاطه فارم  های قوریه کارته مامورین سمنگان ، جنگل باغ شبرغان ومیدان وردک </t>
  </si>
  <si>
    <t xml:space="preserve">حفر 3 حلقه چاه عمیق درولایات کندهار ، زابل  ومرکز با نصب واترپمپ های سولر مکمل السباب وبا ضمایم آن </t>
  </si>
  <si>
    <t>مجموع دارایی ها</t>
  </si>
  <si>
    <t>مبلغ 103353597 افغانی</t>
  </si>
  <si>
    <t>مبلغ (   23883075 افغانی</t>
  </si>
  <si>
    <t xml:space="preserve">اجناس وخدمات  4 بخش برنامه </t>
  </si>
  <si>
    <t>مبلغ (6211500) افغانی</t>
  </si>
  <si>
    <t>استخدام  نگران برای 12ماه</t>
  </si>
  <si>
    <t xml:space="preserve">بسمت یا وظیفه شخص </t>
  </si>
  <si>
    <t>ترتیب کنندگان   :</t>
  </si>
  <si>
    <t xml:space="preserve">سید این الله فخری </t>
  </si>
  <si>
    <t xml:space="preserve">امر تنظیم امور جنگلات وابریزه ها </t>
  </si>
  <si>
    <t xml:space="preserve"> احمد شاه امرخیل </t>
  </si>
  <si>
    <t xml:space="preserve">اجمد ضیا میرزده </t>
  </si>
  <si>
    <t xml:space="preserve">مدیر عمومی سروی ومطالعات ساحات حفاظت شده </t>
  </si>
  <si>
    <t xml:space="preserve">محمد امان اماینار </t>
  </si>
  <si>
    <t xml:space="preserve">سیدالرحمن زیارمل </t>
  </si>
  <si>
    <t xml:space="preserve"> وزیر زراعت، آبیاری ومالداری</t>
  </si>
  <si>
    <t xml:space="preserve">              رئیس جنگلات </t>
  </si>
  <si>
    <t>ترتیب کنند گان</t>
  </si>
  <si>
    <t xml:space="preserve">سال 1397 </t>
  </si>
  <si>
    <t xml:space="preserve"> احیای طبیعی علفچر به مساحت 1140 هکتار </t>
  </si>
  <si>
    <t xml:space="preserve">اعماریک شبکه تامین اب کملکس بند امیر ولایت بامیان </t>
  </si>
  <si>
    <t xml:space="preserve">نصیراحمد درانی </t>
  </si>
  <si>
    <t xml:space="preserve">تولید( حفاظت وابیاری  30هزار اصله نهال جلغوزه </t>
  </si>
  <si>
    <t xml:space="preserve">26ولایت </t>
  </si>
  <si>
    <t xml:space="preserve"> تهیه سنگ و اعمار (1300 )مکتر مکعب چکدم در ولایت کنر ها </t>
  </si>
  <si>
    <t xml:space="preserve">تدویر  ورکشاپ اگاهی عامه در رابطه به اهمیت و حفاظت جنگلات در لایت کنر. ایچاد 632 انجمن جنگلداری </t>
  </si>
  <si>
    <t xml:space="preserve">استخدام39  نفر پرسونل خدماتی و حفاظتی  و فنی برای3 ساحه ( بند امیر، پارک ملی واخان،   و کول حشمت خان) و خریداری49  جوره  یونیفورم برای محافظین </t>
  </si>
  <si>
    <t xml:space="preserve">احیا5 جریب  وتوسعه جنگل باغ  بانس  </t>
  </si>
  <si>
    <t>واحد مقیاس</t>
  </si>
  <si>
    <t>نورم کار</t>
  </si>
  <si>
    <t>قیمت فی واحد به افغانی</t>
  </si>
  <si>
    <t xml:space="preserve">معیاد پروژه </t>
  </si>
  <si>
    <t>30دلو</t>
  </si>
  <si>
    <t>30حوت</t>
  </si>
  <si>
    <t>30حمل</t>
  </si>
  <si>
    <t xml:space="preserve">احیایی علفچر طبیعی توسط قروغ ، تناوب چرا ، تنظیم حیوانات مواشی درساحه حصار شده 1396توسط انجمن </t>
  </si>
  <si>
    <t xml:space="preserve">احیاء  علفچرتوسط بذر تخم علوفه </t>
  </si>
  <si>
    <t xml:space="preserve">تهیه تخم علوفه برای موازی 60 هکتار فی هکتار 5 کیلوگرام </t>
  </si>
  <si>
    <t xml:space="preserve">1 حوت </t>
  </si>
  <si>
    <t xml:space="preserve">30قوس </t>
  </si>
  <si>
    <t>بذرپاشی و زیرخاک نمودن تخم علفوفه درساحات تخریب شده علفچر</t>
  </si>
  <si>
    <t xml:space="preserve">مترمربع </t>
  </si>
  <si>
    <t>1 حوت</t>
  </si>
  <si>
    <t xml:space="preserve">احیاء نباتات طبی هنگ </t>
  </si>
  <si>
    <t>1عقرب</t>
  </si>
  <si>
    <t>1جوزا</t>
  </si>
  <si>
    <t xml:space="preserve">30سنبله </t>
  </si>
  <si>
    <t>15دلو</t>
  </si>
  <si>
    <t>15حوت</t>
  </si>
  <si>
    <t>کشیدن نهال ازمرکزارایه خدمات تنظیم علفچر</t>
  </si>
  <si>
    <t xml:space="preserve">تهیه یکعراد ه زرنج برای انتقال قلمه و نهال ریشه گز، تاغ وسکساول درساحه </t>
  </si>
  <si>
    <t>1دلو</t>
  </si>
  <si>
    <t xml:space="preserve">تهیه آب برای آبیاری نهال بک مرتبه </t>
  </si>
  <si>
    <t>15قوس</t>
  </si>
  <si>
    <t xml:space="preserve">آبیاری نهال های غرس شده یک مرتبه </t>
  </si>
  <si>
    <t xml:space="preserve">آماده ساختن موازی 20 جریب زمین برای بذر تخم علوفه وغرس قلمه گز ، تاغ وسکساول درمرکزارایه خدمات تنظیم علفجر </t>
  </si>
  <si>
    <t>1حوت</t>
  </si>
  <si>
    <t>تهیه تخم علوفه اگروپایرون</t>
  </si>
  <si>
    <t>30جدی</t>
  </si>
  <si>
    <t>بذرتخم علوفه در قطار ( فاصله بین قطار 50 سانتی )</t>
  </si>
  <si>
    <t xml:space="preserve">تهیه کود وسیاه وسفید </t>
  </si>
  <si>
    <t xml:space="preserve">کارگر برای خیشاوه نمودن یک مراتبه </t>
  </si>
  <si>
    <t>اول ثور</t>
  </si>
  <si>
    <t xml:space="preserve">کارگر آبیاری و درو نمودن برای مدت 8 ماه </t>
  </si>
  <si>
    <t>1ثور</t>
  </si>
  <si>
    <t>30میزان</t>
  </si>
  <si>
    <t>تهیه روغنیات برای زرنج و واترپمپ</t>
  </si>
  <si>
    <t xml:space="preserve">احیاء علفچراز طریق بذر تخم رشقه للمی </t>
  </si>
  <si>
    <t xml:space="preserve">تهیه تخم رشقه للمی </t>
  </si>
  <si>
    <t xml:space="preserve">بذرتخم رشقه للمی وزیر خاک نمودن </t>
  </si>
  <si>
    <t>آماده ساختن زمین برای بذر تخم علوفه وغرس قلمه گز</t>
  </si>
  <si>
    <t>کارگر برای خیشاوه نمودن برای یک مراتبه</t>
  </si>
  <si>
    <t>کارگر</t>
  </si>
  <si>
    <t>احیاء نباتات طبی شیرین بویه</t>
  </si>
  <si>
    <t xml:space="preserve">تهیه قلمه ریشه شیرین بویه ، توسط کارگران محلی </t>
  </si>
  <si>
    <t xml:space="preserve">خریداری روغنیات زرنج  </t>
  </si>
  <si>
    <t xml:space="preserve">بذرتخم رشقه للمی </t>
  </si>
  <si>
    <t>کارگر برای خیشاوه نمودن برای 1 مراتبه</t>
  </si>
  <si>
    <t>لسانس زراعت</t>
  </si>
  <si>
    <t>کارگر برای خیشاوه نمودن برای یک  مراتبه</t>
  </si>
  <si>
    <t xml:space="preserve">تهیه آب برای آبیاری نهال یک مرتبه </t>
  </si>
  <si>
    <t>کارگر برای خیشاوه نمودن برای 1  مراتبه</t>
  </si>
  <si>
    <t>احیا وحفاظت نبات طبی هنگ</t>
  </si>
  <si>
    <t>ابیاری توسط ابپاش</t>
  </si>
  <si>
    <t xml:space="preserve">روغنیات زرنج </t>
  </si>
  <si>
    <t>آماده ساختن زمین مراکز تکثیری برای بذر تخم علوفه وغرس قلمه</t>
  </si>
  <si>
    <t xml:space="preserve">بذرتخم علوفه در قطار درساحه 2 هکتارمرکزارایه خدمات تنظیم علفچر </t>
  </si>
  <si>
    <t>تهیه روغنیات برای زرنج</t>
  </si>
  <si>
    <t xml:space="preserve">احیاء موازی 100 هکتار علفچرتوسط بذر تخم علوفه </t>
  </si>
  <si>
    <t xml:space="preserve">تهیه تخم علوفه برای موازی 100 هکتار فی هکتار 5 کیلوگرام </t>
  </si>
  <si>
    <t xml:space="preserve">تهیه تخم علوفه فی هکتار 5 کیلوگرام </t>
  </si>
  <si>
    <t>میدان وردگ</t>
  </si>
  <si>
    <t xml:space="preserve">احیاء موازی 100 هکتار علفچرتوسط بذر تخم رشقه للمی </t>
  </si>
  <si>
    <t xml:space="preserve">تهیه تخم رشقه برای موازی 100 هکتار </t>
  </si>
  <si>
    <t>بذرپاشی و زیرخاک نمودن تخم رشقه للمی درساحات تخریب شده علفچر</t>
  </si>
  <si>
    <t xml:space="preserve">تهیه تخم علوفه برای موازی 100 هکتار </t>
  </si>
  <si>
    <t xml:space="preserve">احیاء نبات طبی هنگ </t>
  </si>
  <si>
    <t>ارزش مجموعی</t>
  </si>
  <si>
    <t xml:space="preserve">احیای 40 هکتار جنگلات پسته با بذر للمی و قروغ نمودن به کمک 8 پروژه عایداتی </t>
  </si>
  <si>
    <t>پروژه عایداتی</t>
  </si>
  <si>
    <t xml:space="preserve">پلان شده </t>
  </si>
  <si>
    <t>1396/10/1</t>
  </si>
  <si>
    <t>1397/9/30</t>
  </si>
  <si>
    <t xml:space="preserve">مردم عام </t>
  </si>
  <si>
    <t xml:space="preserve">خریداری تخم پسته برای بذر للمی </t>
  </si>
  <si>
    <t xml:space="preserve">کیلو گرام </t>
  </si>
  <si>
    <t xml:space="preserve">کرایه </t>
  </si>
  <si>
    <t xml:space="preserve">مجموع فرعی </t>
  </si>
  <si>
    <t>قیمت</t>
  </si>
  <si>
    <t xml:space="preserve">بادغیس </t>
  </si>
  <si>
    <t>احیای 50 هکتار جنگلات پسته با بذر للمی و قروغ نمودن به کمک 26 پروژه عایداتی.</t>
  </si>
  <si>
    <t>کیلو گرام</t>
  </si>
  <si>
    <t xml:space="preserve">کارمند محلی </t>
  </si>
  <si>
    <t xml:space="preserve">تخار </t>
  </si>
  <si>
    <t>احیای 20 هکتار جنگلات پسته با بذر للمی و قروغ نمودن به کمک 4 پروژه عایداتی.</t>
  </si>
  <si>
    <t xml:space="preserve">متر مکعب </t>
  </si>
  <si>
    <t>پلان شده</t>
  </si>
  <si>
    <t xml:space="preserve">بدخشان </t>
  </si>
  <si>
    <t xml:space="preserve">تهیه و خریداری تخم پسته برای بذر </t>
  </si>
  <si>
    <t xml:space="preserve">سمنگان </t>
  </si>
  <si>
    <t>احیای 30 هکتار جنگلات پسته با بذر للمی و قروغ نمودن به کمک6 پروژه عایداتی.</t>
  </si>
  <si>
    <t xml:space="preserve">پکتیا </t>
  </si>
  <si>
    <t>مرکز</t>
  </si>
  <si>
    <t>استخدام 2 نفر محافظ غرض حفاظت 10000 خریطه پلاستیکی از سال 1395</t>
  </si>
  <si>
    <t xml:space="preserve">جالی با ملحفات آن برای تهیه سایه بان برای نوجست های جلغوزه </t>
  </si>
  <si>
    <t xml:space="preserve">پکتیکا </t>
  </si>
  <si>
    <t xml:space="preserve">خوست </t>
  </si>
  <si>
    <t>مردم عام</t>
  </si>
  <si>
    <t xml:space="preserve">لوگر </t>
  </si>
  <si>
    <t>احیای و حفاظت 50 هکتار جلغوزه با بذر للمی به کمک 10 پروژه عایداتی.</t>
  </si>
  <si>
    <t xml:space="preserve">خریداری تخم جلغوزه برای بذر مستقیم </t>
  </si>
  <si>
    <t>خریداری تخم نشتر، لمنز، بلوط و اغور اسکی برای بذر للمی.</t>
  </si>
  <si>
    <t xml:space="preserve">اعمار چکدم غرض حفاظت آب و خاک </t>
  </si>
  <si>
    <t xml:space="preserve">پنجشیر </t>
  </si>
  <si>
    <t xml:space="preserve">احیای 20 هکتار بذر للمی بادام کوهی به کمک 4 پروژه عایداتی ( هر پروژه عایداتی برای یک نفر کارگر محافظ و 5 هکتار) </t>
  </si>
  <si>
    <t>سفریه و کرایه تیم فنی غرض سفر به ولایات غرض نظارت از امور پروژه ها.</t>
  </si>
  <si>
    <t>بوزارق</t>
  </si>
  <si>
    <t>دشت امرود</t>
  </si>
  <si>
    <t xml:space="preserve">بهائی ,بخارا، وسبزناله
</t>
  </si>
  <si>
    <t xml:space="preserve">کاسی ،تیل بای، نظر،دهن قره باغی  </t>
  </si>
  <si>
    <t>ج : تنظیم همه جانبه علفچر ونباتات طبی سال 1397</t>
  </si>
  <si>
    <t xml:space="preserve">شوخی </t>
  </si>
  <si>
    <t xml:space="preserve">متر مربع </t>
  </si>
  <si>
    <t>ولسوالی سید آباد</t>
  </si>
  <si>
    <t>دشت توپ</t>
  </si>
  <si>
    <t>اعماردیوار احاطه ، تعمیر ، چاه عمیق وفعالیت های تخنیکی قرارداد شده 1396</t>
  </si>
  <si>
    <t xml:space="preserve">مرتبه </t>
  </si>
  <si>
    <t>شش پل</t>
  </si>
  <si>
    <t xml:space="preserve">مرکز ولسوالی بلخ </t>
  </si>
  <si>
    <t>ده هدادی</t>
  </si>
  <si>
    <t>جنگل باغ شبرغان</t>
  </si>
  <si>
    <t xml:space="preserve">کارته مامورین </t>
  </si>
  <si>
    <t>جنگل باغ</t>
  </si>
  <si>
    <t xml:space="preserve">باغ تیره </t>
  </si>
  <si>
    <t>حفریک حلقه چاه عمیق ونصب سولر</t>
  </si>
  <si>
    <t xml:space="preserve">جنگل باغ </t>
  </si>
  <si>
    <t xml:space="preserve">گذره </t>
  </si>
  <si>
    <t>جنگل باغ پل پشتو</t>
  </si>
  <si>
    <t>جنگل باغ شمالی</t>
  </si>
  <si>
    <t xml:space="preserve">جنگل باغ  تالقان وچاه عمیق </t>
  </si>
  <si>
    <t>ژیری</t>
  </si>
  <si>
    <t>مرکزترویجی</t>
  </si>
  <si>
    <t xml:space="preserve">شهرستان  </t>
  </si>
  <si>
    <t xml:space="preserve">کشک کهنه </t>
  </si>
  <si>
    <t xml:space="preserve">ازره </t>
  </si>
  <si>
    <t>یکاولنگ</t>
  </si>
  <si>
    <t>بند امیر</t>
  </si>
  <si>
    <t>09/1397</t>
  </si>
  <si>
    <t>//</t>
  </si>
  <si>
    <t>موجودیت  صفا کار</t>
  </si>
  <si>
    <t>12/1395</t>
  </si>
  <si>
    <t>9/1397</t>
  </si>
  <si>
    <t>سیاحین</t>
  </si>
  <si>
    <t>موجودیت محافظین</t>
  </si>
  <si>
    <t>موجودیت پیاده رو سنگفرش و پخته</t>
  </si>
  <si>
    <t>متر</t>
  </si>
  <si>
    <t>موجودیت آب در کمپلکس</t>
  </si>
  <si>
    <t>شبکه</t>
  </si>
  <si>
    <t>محافظین و سیاحین</t>
  </si>
  <si>
    <t>واخان</t>
  </si>
  <si>
    <t>پارک ملی واخان</t>
  </si>
  <si>
    <t>موجودیت سوپروایزر</t>
  </si>
  <si>
    <t>01/1397</t>
  </si>
  <si>
    <t>کول حشمت خان</t>
  </si>
  <si>
    <t>بگرامی</t>
  </si>
  <si>
    <t>سیاحین و مردم محل</t>
  </si>
  <si>
    <t xml:space="preserve">د :انکشاف ایکوسیستم های با ارزش طبیعی </t>
  </si>
  <si>
    <t xml:space="preserve">  معاش 2 نفر متخصص ،نظارت ،ارزیابی  از فعالیت های برنامه  ملی منابع طبیعی ومصارف احتمالی </t>
  </si>
  <si>
    <t xml:space="preserve">  ج : احیای فارم ها و جنگل باغ ها غرض گسترش فضای سبز</t>
  </si>
  <si>
    <t xml:space="preserve">قیمت  هربخش  به افغانی </t>
  </si>
  <si>
    <t>ضمیمه 3: پلان کاری سالانه برنامه برای سال 1397</t>
  </si>
  <si>
    <t xml:space="preserve">معیاد </t>
  </si>
  <si>
    <t>فعالیت 1.: رهنمایی انجمن های مربوطه در مورد چگونگی بذر للمی پسته ، جلغوزه و بادام کوهی  توسط مدیریت جنگلات</t>
  </si>
  <si>
    <t>فعالیت 1 :تهیه سنگ و اعمار 1300 متر مکعب چکدم از مواد محلی (سنگ ، چوب وغیره )در ولایت تخار و لوگر.</t>
  </si>
  <si>
    <t xml:space="preserve">فعالیت 1: استخدام 2 نفر متخصص ارزش افزائی پسته و جلغوزه در مرکز </t>
  </si>
  <si>
    <t>فعالیت6.1: نظارت از فعالیت های تخنیکی و تهیه پلان مدیریتی انجمن ها در ساحات تطبیق پروژه ها</t>
  </si>
  <si>
    <t>30قوس 1397</t>
  </si>
  <si>
    <t>1جدی 1396</t>
  </si>
  <si>
    <t xml:space="preserve">مسئول </t>
  </si>
  <si>
    <t>تمدید قرارداد 1 نفر متخصص مدیریت تغیر   منابع طبیعی</t>
  </si>
  <si>
    <t xml:space="preserve"> پریان </t>
  </si>
  <si>
    <t xml:space="preserve">تهیه و خریداری تخم  بادام کوهی </t>
  </si>
  <si>
    <t xml:space="preserve">حضرت سلطان </t>
  </si>
  <si>
    <t xml:space="preserve">شتل ، دره وعنابه </t>
  </si>
  <si>
    <t xml:space="preserve">روی دره ،کرامان وآب دره </t>
  </si>
  <si>
    <t xml:space="preserve">مرکز، خرم سارباغ،حضرت سلطان </t>
  </si>
  <si>
    <t xml:space="preserve">جوییخ وقبر قاضی </t>
  </si>
  <si>
    <t>حصله اول بهسود</t>
  </si>
  <si>
    <t>وریاچ</t>
  </si>
  <si>
    <t xml:space="preserve">غوریان وربات سنگی </t>
  </si>
  <si>
    <t>تورغندی وشه بخش</t>
  </si>
  <si>
    <t xml:space="preserve">مرکز ، قرقین </t>
  </si>
  <si>
    <t xml:space="preserve">قلعه نو </t>
  </si>
  <si>
    <t xml:space="preserve">بادام دره ، خطایان ،جوی شیخ وقبر قاضی </t>
  </si>
  <si>
    <t>درایم وکشکان</t>
  </si>
  <si>
    <t xml:space="preserve">دره قاق وتنگانی </t>
  </si>
  <si>
    <t xml:space="preserve">حضرت سلطان ، دره شرق </t>
  </si>
  <si>
    <t xml:space="preserve"> مرکز ،سیغان،ورس وکه مرد</t>
  </si>
  <si>
    <t>قرغن تو، وقریجا وسولای سه گانه</t>
  </si>
  <si>
    <t>ارگو، درایم</t>
  </si>
  <si>
    <t xml:space="preserve">قادس ،مقر مرکز </t>
  </si>
  <si>
    <t xml:space="preserve">ده برنج ،خارستانلامان  </t>
  </si>
  <si>
    <t xml:space="preserve">خدر وسنگ تخت </t>
  </si>
  <si>
    <r>
      <rPr>
        <b/>
        <sz val="12"/>
        <rFont val="Arial"/>
        <family val="2"/>
      </rPr>
      <t>متفرقه :تمدید قرارداد واستخدام</t>
    </r>
    <r>
      <rPr>
        <sz val="12"/>
        <rFont val="Arial"/>
        <family val="2"/>
      </rPr>
      <t xml:space="preserve"> متخصص دربخش های منابع طبیعی ، تهیه پلانهای مدیرتی برای انجمن ها در ولایات، نظارت  و.ارزیابی از پروژه  ومصارف اداری </t>
    </r>
  </si>
  <si>
    <t xml:space="preserve">نصیراحمد درانی  </t>
  </si>
  <si>
    <t xml:space="preserve">نمک آب وبهارک </t>
  </si>
  <si>
    <t xml:space="preserve">تنظیم ابریزه با اعمار 200متر مکعب چکدم و ابگردان از سنگ و مواد محلی در یکی ساحاتیکه تحت خطر سیلاب شدید قرار دارد یا ساحه که احیا میگردد. </t>
  </si>
  <si>
    <t>تنظیم ابریزه ها با اعمار 200چکدم با مواد محلی در جای که خطر سیلاب متصور است.</t>
  </si>
  <si>
    <t>استخدام 2 نفر متخصص در بخش ارتقای ظرفیت انجمن ها</t>
  </si>
  <si>
    <t>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t>
  </si>
  <si>
    <t xml:space="preserve">مصارف اموزش انجمنها و نظارت از فعالیت های تطبیق شده پروژه </t>
  </si>
  <si>
    <t xml:space="preserve">تدویرورکشاپ اموزشهای تخنیکی وپلان سازی برای اعضای انجمن </t>
  </si>
  <si>
    <t xml:space="preserve">حفرو اصلاح چاله ، نرم کاری خاک ، وبذرتخم هنگ </t>
  </si>
  <si>
    <t xml:space="preserve">حفرواصلاح چاله ،نرم کاری خاک وبذرتخم هنگ </t>
  </si>
  <si>
    <t>استخدام یک نفر متخصص علفچرها</t>
  </si>
  <si>
    <t xml:space="preserve">حفر و اصلاح چاله ،نرم کاری خاک وبذرتخم هنگ </t>
  </si>
  <si>
    <t xml:space="preserve">1میزان </t>
  </si>
  <si>
    <t>شورتپه ،چمتال، دهداتی</t>
  </si>
  <si>
    <t xml:space="preserve">حفرواصلاح چاله ،نرم کاری خاک وغرس قلمه شیرین بویه </t>
  </si>
  <si>
    <t>تمدید قرارداد یک نفر متخصص نباتات طبی</t>
  </si>
  <si>
    <t xml:space="preserve">کابل </t>
  </si>
  <si>
    <t xml:space="preserve">مجموع بودجه اکوسیستم های بار ارزش طبیعی </t>
  </si>
  <si>
    <t>د</t>
  </si>
  <si>
    <t xml:space="preserve">بذر للم و حفاظت ساحه 90 هکتار جنگلات طبیعی تخریب شده لمنز، نشتر، به کمک پروژه های عایداتی ( هر پروژه عایداتی برای 5 هکتار ساحه تخریب شده جدید و یک نفر محافظ) </t>
  </si>
  <si>
    <t>خریداری تخم چارمغز با کیفیت که قابلیت جوانه زدن را داشته باشد.</t>
  </si>
  <si>
    <t xml:space="preserve">کنر </t>
  </si>
  <si>
    <t xml:space="preserve">مانوگی، وته پور، و دانگام </t>
  </si>
  <si>
    <t xml:space="preserve">انجممن </t>
  </si>
  <si>
    <t xml:space="preserve">استالف </t>
  </si>
  <si>
    <t xml:space="preserve">عقب ولسوالی </t>
  </si>
  <si>
    <t xml:space="preserve">آماده ساختن وپلات بندی یک  جریب زمین </t>
  </si>
  <si>
    <t xml:space="preserve">خیشاوه کتمن کاری (3) جریب زمین برای 3 مرتبه </t>
  </si>
  <si>
    <t>پاککاری جوی ها بطول (287) متر</t>
  </si>
  <si>
    <t xml:space="preserve">تهیه(20) مترمکعب کمپوست </t>
  </si>
  <si>
    <t>مترمکعب</t>
  </si>
  <si>
    <t xml:space="preserve">تراسپلانت (10000) اصله نهال </t>
  </si>
  <si>
    <t xml:space="preserve">اصله </t>
  </si>
  <si>
    <t>بذرساحه یک جریب زمین درساحه آذاد</t>
  </si>
  <si>
    <t xml:space="preserve">مواد ،تجهیزات ،وسایل کاروروغنیات </t>
  </si>
  <si>
    <t xml:space="preserve">پروان </t>
  </si>
  <si>
    <t xml:space="preserve">ولسوالی جبل السراج </t>
  </si>
  <si>
    <t>مرکز باغ جبل السراج</t>
  </si>
  <si>
    <t xml:space="preserve">آماده ساختن وپلات بندی 5 جریب زمین </t>
  </si>
  <si>
    <t>پاککاری جوی ها بطول (250) متر</t>
  </si>
  <si>
    <t xml:space="preserve">تهیه(11) مترمکعب کمپوست </t>
  </si>
  <si>
    <t>پاککاری جوی ها بطول (500) متر</t>
  </si>
  <si>
    <t>متر مکعب</t>
  </si>
  <si>
    <t xml:space="preserve">آماده ساختن وپلات بندی 30 جریب زمین </t>
  </si>
  <si>
    <t xml:space="preserve">احداث سرک های فرعی فارم </t>
  </si>
  <si>
    <t xml:space="preserve">متر </t>
  </si>
  <si>
    <t>احداث جوی های  جدید بطول (500) متر</t>
  </si>
  <si>
    <t>بذرساحه دو جریب زمین درساحه آذاد</t>
  </si>
  <si>
    <t xml:space="preserve">رخه ومرکز </t>
  </si>
  <si>
    <t xml:space="preserve">مره لاق ودشتک </t>
  </si>
  <si>
    <t xml:space="preserve">اماده ساختن وپلات بندی (4 )جریب زمین </t>
  </si>
  <si>
    <t xml:space="preserve">تهیه(12) مترمکعب کمپوست </t>
  </si>
  <si>
    <t xml:space="preserve">ترمیم ذخیره آب  وشبکه آبیاری قوریه  فارم مره لاق </t>
  </si>
  <si>
    <t xml:space="preserve">شبکه </t>
  </si>
  <si>
    <t xml:space="preserve">خیشاوه کتمن کاری (5) جریب زمین برای 3 مرتبه </t>
  </si>
  <si>
    <t xml:space="preserve">اماده سا ختن 20جریب زمین </t>
  </si>
  <si>
    <t>پرکاری (20000) خریطه پلاستیکی وبذرآن</t>
  </si>
  <si>
    <t>خریطه</t>
  </si>
  <si>
    <t xml:space="preserve">خیشاوه کتمن کاری 7جریب زمین برای3 مرتبه </t>
  </si>
  <si>
    <t>پاککاری جوی ها بطول (300) متر</t>
  </si>
  <si>
    <t xml:space="preserve">تراسپلانت (15000) اصله نهال </t>
  </si>
  <si>
    <t>تاشلی گذر</t>
  </si>
  <si>
    <t xml:space="preserve">آماده ساختن وپلات بندی 3 جریب زمین </t>
  </si>
  <si>
    <t xml:space="preserve">خیشاوه کتمن کاری (2) جریب زمین برای 3 مرتبه </t>
  </si>
  <si>
    <t xml:space="preserve">تهیه(15) مترمکعب کمپوست </t>
  </si>
  <si>
    <t xml:space="preserve">اعمار سیتم آبیاری فارم تاشلی گذر </t>
  </si>
  <si>
    <t xml:space="preserve">سیتم </t>
  </si>
  <si>
    <t xml:space="preserve">خیشاوه کتمن کاری (6) جریب زمین برای 3 مرتبه </t>
  </si>
  <si>
    <t xml:space="preserve">تراسپلانت (20000) اصله نهال </t>
  </si>
  <si>
    <t xml:space="preserve">اماده ساختن وپلات بندی (6 )جریب زمین </t>
  </si>
  <si>
    <t xml:space="preserve">اماده ساختن وپلات بندی (5)جریب زمین </t>
  </si>
  <si>
    <t xml:space="preserve">اماده سا ختن10جریب زمین </t>
  </si>
  <si>
    <t xml:space="preserve">تهیه(25) مترمکعب کمپوست </t>
  </si>
  <si>
    <t xml:space="preserve">آماده ساختن وپلات بندی 6 جریب زمین </t>
  </si>
  <si>
    <t>پرکاری (19000) خریطه پلاستیکی وبذرآن</t>
  </si>
  <si>
    <t xml:space="preserve">اماده سا ختن5جریب زمین </t>
  </si>
  <si>
    <t>پرداخت پول سبز خانه قرارداد شده سال 1396</t>
  </si>
  <si>
    <t xml:space="preserve">باب </t>
  </si>
  <si>
    <t xml:space="preserve">تنی </t>
  </si>
  <si>
    <t xml:space="preserve">مرکز ولسوالی </t>
  </si>
  <si>
    <t xml:space="preserve">تهیه(10) مترمکعب کمپوست </t>
  </si>
  <si>
    <t xml:space="preserve"> نصب سیتم انرژی آفتابی یک حلقه چاه در قوریه تنی </t>
  </si>
  <si>
    <t xml:space="preserve">ولسوالی بهسود وفارم جدید </t>
  </si>
  <si>
    <t xml:space="preserve">اماده سا ختن 15جریب زمین </t>
  </si>
  <si>
    <t>پرکاری (40000) خریطه پلاستیکی وبذرآن</t>
  </si>
  <si>
    <t xml:space="preserve">حفر چقرک </t>
  </si>
  <si>
    <t xml:space="preserve">نهال شانی نهال بانکس </t>
  </si>
  <si>
    <t xml:space="preserve">آبیاری نهال های غرس شده برای یک مرتبه </t>
  </si>
  <si>
    <t xml:space="preserve">تدویر ورکشاپ یک روزه برای 35 نفر کارمندان ریاست زراعت </t>
  </si>
  <si>
    <t>آموزش کارمندان توسط ترینر</t>
  </si>
  <si>
    <t xml:space="preserve">تهیه غذا ، قرطاسیه وسایر ضروریات ورکشاپ </t>
  </si>
  <si>
    <t xml:space="preserve">خریداری نهال ریشه ئی بانکس وانتقال آن به ساحه </t>
  </si>
  <si>
    <t xml:space="preserve">خریداری اجناس ووسایل وسایر ضروریات ازقبیل (متر ، بیل ، کلند کود سیاه وسفید ) وغیره </t>
  </si>
  <si>
    <t xml:space="preserve">لغمان </t>
  </si>
  <si>
    <t xml:space="preserve">باغ قلعه سراج </t>
  </si>
  <si>
    <t>بذرساحه یک  جریب زمین درساحه آذاد</t>
  </si>
  <si>
    <t>مندکول</t>
  </si>
  <si>
    <t>پرکاری (30000) خریطه پلاستیکی وبذرآن</t>
  </si>
  <si>
    <t>بذرساحه یک   جریب زمین درساحه آذاد</t>
  </si>
  <si>
    <t xml:space="preserve">اماده ساختن وپلات بندی (8 )جریب زمین </t>
  </si>
  <si>
    <t>بذرساحه دو  جریب زمین درساحه آذاد</t>
  </si>
  <si>
    <t xml:space="preserve">خیشاوه کتمن کاری (8) جریب زمین برای 3 مرتبه </t>
  </si>
  <si>
    <t>پاککاری جوی ها بطول (350) متر</t>
  </si>
  <si>
    <t xml:space="preserve">تراسپلانت (30000) اصله نهال </t>
  </si>
  <si>
    <t xml:space="preserve">غور </t>
  </si>
  <si>
    <t xml:space="preserve">آماده ساختن وپلات بندی6جریب زمین </t>
  </si>
  <si>
    <t xml:space="preserve">فارم شگوفان </t>
  </si>
  <si>
    <t xml:space="preserve">آماده ساختن وپلات بندی10جریب زمین </t>
  </si>
  <si>
    <t xml:space="preserve">تراسپلانت (12000) اصله نهال </t>
  </si>
  <si>
    <t xml:space="preserve">کشم </t>
  </si>
  <si>
    <t xml:space="preserve">آماده ساختن وپلات بندی8جریب زمین </t>
  </si>
  <si>
    <t xml:space="preserve">بغلان </t>
  </si>
  <si>
    <t xml:space="preserve">بغلان جدید </t>
  </si>
  <si>
    <t>باغ اختر</t>
  </si>
  <si>
    <t xml:space="preserve">آماده ساختن وپلات بندی15جریب زمین </t>
  </si>
  <si>
    <t xml:space="preserve">آماده ساختن وپلات بندی 4 جریب زمین </t>
  </si>
  <si>
    <t xml:space="preserve">آماده ساختن وپلات بندی 10جریب زمین </t>
  </si>
  <si>
    <t xml:space="preserve">آماده ساختن وپلات بندی6.5 جریب زمین </t>
  </si>
  <si>
    <t>پاککاری جوی ها بطول (333) متر</t>
  </si>
  <si>
    <t xml:space="preserve">تراسپلانت (11000) اصله نهال </t>
  </si>
  <si>
    <t>30*2</t>
  </si>
  <si>
    <t>پیامد 1:- احیا و حفاظت  جنگلات پسته، جلغوزه  و بادام کوهی از طریق  پروژه های عایداتی در مشارکت فعال انجمن ها وجوامع محلی</t>
  </si>
  <si>
    <t xml:space="preserve">پیامد 2: حفاظت آب و خاک با اعمار چکدم در ولایت تخار و لوگر </t>
  </si>
  <si>
    <t>محصول1.2  :- موجودیت 1300 مترمکعب چکدم  در ساحات آسیب پذیر غرض جلوگیری از تخریب خاک و آب.</t>
  </si>
  <si>
    <t>محصول5: موجودیت 5000 کیلو گرام تخم چارمغز با کیفیت و توزیع آن برای 100 انجمن غرض بذر در خریطه های پلاستیکی در قوریه های خانگی.</t>
  </si>
  <si>
    <t>فعالیت5.1: خریداری 5000 کیلو گرام تخم چارمغز با کیفیت برای بذر در خریطه های پلاستیکی توسط 100 انجمن جنگلداری.</t>
  </si>
  <si>
    <t>پیامد 1: تولیدسالانه درحدود2190000 اصله نهال</t>
  </si>
  <si>
    <t>محصول 1: احیا( 219 ) جریب  قوریه در28 ولایت کشور</t>
  </si>
  <si>
    <t xml:space="preserve">اماده ساختن وپلات بندی (219 )جریب زمین </t>
  </si>
  <si>
    <t>بذرساحه 34 جریب زمین درساحه آذاد</t>
  </si>
  <si>
    <t>پرکاری (115000) خریطه پلاستیکی وبذرآن</t>
  </si>
  <si>
    <t xml:space="preserve">خیشاوه کتمن کاری (122) جریب زمین برای 3 مرتبه </t>
  </si>
  <si>
    <t>پاککاری جوی ها بطول (8377) متر</t>
  </si>
  <si>
    <t>احداث سرک  ها ی فرعی فارم بطول (1000) متر</t>
  </si>
  <si>
    <t xml:space="preserve">تهیه(392) مترمکعب کمپوست </t>
  </si>
  <si>
    <t xml:space="preserve">تراسپلانت (257000) اصله نهال </t>
  </si>
  <si>
    <t>پیامد2:داشتن 5جریب جنگل بانکس درولایت ننگرهار</t>
  </si>
  <si>
    <t>1جدی 1397</t>
  </si>
  <si>
    <t>30قوس 1398</t>
  </si>
  <si>
    <t>1جدی 1398</t>
  </si>
  <si>
    <t>30قوس 1399</t>
  </si>
  <si>
    <t xml:space="preserve">خریداری 10000 نهال ریشه ئی بانکس وانتقال آن به ساحه </t>
  </si>
  <si>
    <t>تدویر ورکشاپ یک روزه برای 35 نفر کارمندان ریاست زراعت دربخش بانکس</t>
  </si>
  <si>
    <t xml:space="preserve">ترتیب لست مشخصات وسایل وارسال آن به بخش مربوط جهت خریداری                         </t>
  </si>
  <si>
    <t xml:space="preserve">خریداری وتسلیم دهی اجناس وجمع قید آن درجمع معتمد جنسی </t>
  </si>
  <si>
    <t xml:space="preserve">تهیه وترتیب نقش، برآوردوقیمت تخمینی                     </t>
  </si>
  <si>
    <t xml:space="preserve">سپردن مشخصات به اعلان داوطلبی </t>
  </si>
  <si>
    <t xml:space="preserve">آغازکارساختمانی </t>
  </si>
  <si>
    <t>محصول 7: یک باب گرین هوس درولایت پکتیکا اعمارشده است</t>
  </si>
  <si>
    <t>محصول: اجرای کرایه ترانسپورست غرض نظارت از ساحات تطبیق پروژه ها و توظیف تیم مرکز به منظور نظارت از امور فعالیت های تخنیکی به ولایات برای 12 ولایت.</t>
  </si>
  <si>
    <t>محصول 4.1: موجودیت ازتکمیلی کارباقیمانده اعمار تعمیر ، احاطه ، چاه عمیق  ، اجرای فعالیت های تخنیکی و تجهیز دفتر درولایت میدان وردک</t>
  </si>
  <si>
    <t>پیامد4:  ایجاد مرکز تولید نهال  جهت سرسبزی از طریق اعمار زیزبنهای ساختمانی ( اعمار تعمیر ، احاطه ، چاه عمیق  ، اجرای فعالیت های تخنیکی و تجهیز دفتر )</t>
  </si>
  <si>
    <t xml:space="preserve">پیامد5: تامین آب  وافزایش تولید نهال  در فارمها از طریق حفر حلقه چاه عمیق با 3سیستم  واتر پمپ سولری ، سیستم ابیاری وایجاد گرین هوس </t>
  </si>
  <si>
    <t>محصول.1 5: دوذخیره آب  وشبکه آبیاری درولایات پنجشیروفاریاب ترمیم گردیده است</t>
  </si>
  <si>
    <t>محصول.5.2 : موجودیت وو حلقه چاه عمیق با 3سیستم  واتر پمپ سولری درولایات پکتیا،غزنی وخوست نصب گردیده است</t>
  </si>
  <si>
    <t>پیامد3:فراهم اوری تسهیلات فارمها از طریق تجهیز   سامان الات وابزارکار</t>
  </si>
  <si>
    <t xml:space="preserve"> پیامد:  4: تولید نهال جهارمغز از طریق ایجاد قوریه خانگی برای  100  انجمن درولایت کنرها   </t>
  </si>
  <si>
    <t xml:space="preserve">پیامد 5: بلند رفتن ظرفیت انجمنها د رتهیه پلان مدیریتی،  پلان گزاری تنظیم جنگلات و ارزش افزائی محصولایت پسته و جلغوزه در سطح محل </t>
  </si>
  <si>
    <t xml:space="preserve">دایکندی </t>
  </si>
  <si>
    <t xml:space="preserve">احیای 30 هکتار بذر للمی بادام کوهی به کمک 6 پروژه عایداتی ( هر پروژه عایداتی برای یک نفر کارگر محافظ و 5 هکتار) </t>
  </si>
  <si>
    <t>تهیه و خریداری تخم پسته.</t>
  </si>
  <si>
    <t>مقصد مشخص</t>
  </si>
  <si>
    <t>استخدام 1 نفر محافظ غرض حفاظت 10000 خریطه پلاستیکی از سال 1395</t>
  </si>
  <si>
    <t xml:space="preserve">فعالیت: آغاز و ادامه کار باقیمانده تعمیر و احاطه دفتر فارم در میدارن وردک        </t>
  </si>
  <si>
    <t>مجموع بودچه  بخش احیای فارم ها و تولید نهال</t>
  </si>
  <si>
    <t>مصارف متفرقه</t>
  </si>
  <si>
    <t xml:space="preserve">مصارف اداری، نظارت، ارزیابی ومصارف احتمالی </t>
  </si>
  <si>
    <t>مجموع عمومی برنامه در سال 1397 به افغانی</t>
  </si>
  <si>
    <t xml:space="preserve"> مستفید شونده مستقیم</t>
  </si>
  <si>
    <t>مستفید شونده غیر مستقیم</t>
  </si>
  <si>
    <t>مجموعی عمومی تنظیم جنگلات و آبریزه ها</t>
  </si>
  <si>
    <t>مجموع بودجه بخش تنظیم علفچر ها و نباتات طبی</t>
  </si>
  <si>
    <t>مجموع فرعی</t>
  </si>
  <si>
    <t>مجموعی فرعی</t>
  </si>
  <si>
    <t>مجموع بودجه بخش احیای فارم ها و تولید نها</t>
  </si>
  <si>
    <t>مصارف متفرقه در مرکز وزارت</t>
  </si>
  <si>
    <t>جمهوری اسلامی افغانستان</t>
  </si>
  <si>
    <t>کود پروژه</t>
  </si>
  <si>
    <r>
      <t>AFG/390</t>
    </r>
    <r>
      <rPr>
        <b/>
        <sz val="14"/>
        <color rgb="FFFF0000"/>
        <rFont val="Times New Roman"/>
        <family val="1"/>
      </rPr>
      <t>654</t>
    </r>
  </si>
  <si>
    <t>درخواست صلاحیت برای تقسیم اوقات،تادیات،مکلفیت های ثبت نشده</t>
  </si>
  <si>
    <t>اداره فرعی</t>
  </si>
  <si>
    <t xml:space="preserve">ریاست عمومی  منابع طبیعی </t>
  </si>
  <si>
    <t xml:space="preserve">برنامه ملی تنظیم منابع طبیعی به مشارکت جامعه </t>
  </si>
  <si>
    <t xml:space="preserve">پلان مالی انکشافی </t>
  </si>
  <si>
    <t>اجزای وجه</t>
  </si>
  <si>
    <t>شرح فعالیت</t>
  </si>
  <si>
    <t>موقعیت</t>
  </si>
  <si>
    <t>مجموعی مبلغ/افغانی</t>
  </si>
  <si>
    <t>زمان تطبیق</t>
  </si>
  <si>
    <t xml:space="preserve">تمدید قرارداد یک نفر متخصص مدیریت تغیر منابع طبیعی </t>
  </si>
  <si>
    <t xml:space="preserve">استخدام دونفرمتخصصین علفجرونباتات طبی </t>
  </si>
  <si>
    <t xml:space="preserve">نظارت وارزیابی  فعالیت ها برنامه  </t>
  </si>
  <si>
    <t xml:space="preserve">کرایه و سفریه تیم تخنیکی جهت سفر به ولایات به منظور تهیه پلان مدیریتی برای انجمن های جنگلداری </t>
  </si>
  <si>
    <t xml:space="preserve">استخدام دو نفر کارمند فنی در بخش ارزش افزائی پسته و جلغوزه در مرکز </t>
  </si>
  <si>
    <t xml:space="preserve"> استخدام 9 نفرمحفاظ در کول حشمت خان </t>
  </si>
  <si>
    <t xml:space="preserve">احیا وحفاظت قوریه  جهت تولید بیش از 10هزار اصله نهال (احیا 5 جریب قوریه وخیشاوه 3 جریب زمین قوریه) </t>
  </si>
  <si>
    <t>احیا وحفاظت قوریه  جهت تولید بیش از 50هزار اصله نهال (احیا 5 جریب قوریه وخیشاوه 3 جریب زمین قوریه وسایر فعالیت های تخنیکی )</t>
  </si>
  <si>
    <t xml:space="preserve">مرکز وولسوالی جبل السراج </t>
  </si>
  <si>
    <t>احیا وحفاظت قوریه  جهت تولید بیش از 300هزار اصله نهال (احیا 30 جریب قوریه وخیشاوه 3 جریب زمین قوریه)</t>
  </si>
  <si>
    <t xml:space="preserve">کاپیسا </t>
  </si>
  <si>
    <t>احیاء 100 علفچر، شناسایی 1 انجمن وتدویرورکشاپ</t>
  </si>
  <si>
    <t xml:space="preserve">میدان وردک </t>
  </si>
  <si>
    <t>بهسود 1</t>
  </si>
  <si>
    <t xml:space="preserve">چک </t>
  </si>
  <si>
    <t>با اتمام رسانیدن فعالیت های ساخمتانی قرارداد شده(اعمار تعمیر ، احاطه ، چاه عیمق ، خریداری تجیهزات وفعالیت های تخنیکی سال 1396</t>
  </si>
  <si>
    <t xml:space="preserve">احیای 50 هکتار جلغوزه با بذر للمی به کمک 20 پروژه عایداتی معه خریداری 50 کیلو گرام تخم جلغوزه و اعمار 200 متر مکعب چکدم </t>
  </si>
  <si>
    <t>احیا وحفاظت قوریه  جهت تولید بیش از 60هزار اصله نهال (احیا 6 جریب قوریه وخیشاوه 5 جریب زمین قوریه)</t>
  </si>
  <si>
    <t xml:space="preserve">حفریک حلقه چاه عمیق با نصب سیتم انرژی آفتابی </t>
  </si>
  <si>
    <t xml:space="preserve">استخدام 2 نفر محافظ جهت حفاظت 10000 خریطه پلاستیکی جلغوزه  از سال 1396 در ولایت پکتیا و پکتیکا معه خریداری جالی جهت حفاظت نوجست ها از شدت نور آفتاب. </t>
  </si>
  <si>
    <t xml:space="preserve">استخدام یک نفر محافظ جهت حفاظت 10000 خریطه پلاستیکی جلغوزه  از سال 1396 در ولایت پکتیا و پکتیکا معه خریداری جالی جهت حفاظت نوجست ها از شدت نور آفتاب. </t>
  </si>
  <si>
    <t>احیا وحفاظت قوریه  جهت تولید بیش از 50هزار اصله نهال (احیا 5جریب قوریه وخیشاوه3جریب زمین قوریه)</t>
  </si>
  <si>
    <t>پرداخت پول قرارداد یک باب گرین هاوس قرارداد شده سال 1396</t>
  </si>
  <si>
    <t>استخدام کارمند ونگران وفعالیت تخنیکی درموازی 4 هکتارمرکزارایه خدمات تنظیم علفچر واحیآء 40 هکتارعلفچر</t>
  </si>
  <si>
    <t>احیا وحفاظت قوریه  جهت تولید بیش از 100هزار اصله نهال (احیا 6 جریب قوریه و فعالیت های مرتبط به ان)</t>
  </si>
  <si>
    <t>نصب سیستم انرژی آفتابی بالای چاه عمیمق موجود</t>
  </si>
  <si>
    <t>احیاء 140 علفچرو20 هکتارنبات طبی هنگ ، شناسایی 1 انجمن وتدویر ورکشاپ</t>
  </si>
  <si>
    <t xml:space="preserve">مرکز، خرم سارباغ وحضرت سلطان </t>
  </si>
  <si>
    <t>احیای 30 هکتار جنگلات پسته با بذر للمی به کمک 6 پروژه عایداتی معه خریداری 60 کیلو گرام تخم پسته.</t>
  </si>
  <si>
    <t xml:space="preserve">مرکز ، خرم سارباغ و حضرت سلطان </t>
  </si>
  <si>
    <t>احیاء 40 هکتارعلفچر و 10 هکتار نبات طبی هنگ ، تثبیت ریگهای روان 66 هکتار، استخدام کارمند ونگران ،بذرتخم علوفه وغرس قلمه گز درموازی 4 هکتاروخریداری یکعراده  زرنج</t>
  </si>
  <si>
    <t xml:space="preserve">شورتیپه ، جمتال ، ده دادی </t>
  </si>
  <si>
    <t>احیا وحفاظت قوریه  جهت تولید بیش از 150هزار اصله نهال (احیا 6 جریب قوریه وخیشاوه 7جریب زمین قوریه وسایر فعالیت های تخنیکی )</t>
  </si>
  <si>
    <t xml:space="preserve">بلخ </t>
  </si>
  <si>
    <t>احیا وحفاظت قوریه  جهت تولید بیش از 50هزار اصله نهال (احیا 6 جریب قوریه وخیشاوه 5جریب زمین قوریه وسایر فعالیت های تخنیکی )</t>
  </si>
  <si>
    <t xml:space="preserve">سرپل </t>
  </si>
  <si>
    <t>احیاء 10 هکتار نبات طبی شیرین بویه ، تثبیت ریگهای روان 50هکتار، استخدام نگران ،بدرتخم علوفه وغرس قلمه گز درموازی 4 هکتار</t>
  </si>
  <si>
    <t>مرکز وقرقین</t>
  </si>
  <si>
    <t>احیا وحفاظت قوریه  جهت تولید بیش از 15030هزار اصله نهال (احیا 6 جریب قوریه وخیشاوه 3جریب زمین قوریه وسایر فعالیت های تخنیکی )</t>
  </si>
  <si>
    <t>اعمار شبکه آبیاری فارم تاشلی گذر</t>
  </si>
  <si>
    <t xml:space="preserve">تثبیت 50 هکتارریگهای روان واحیاء 10 هکتارنبات طبی هنگ بذرتخم علوفه درموازی 4 هکتارشناسایی 1 انجمن واستخدام 1نفرکارمند و1نگران  </t>
  </si>
  <si>
    <t xml:space="preserve">استخدام 14 نفر محافظ وصفاکار درپارک ملی بند امیر </t>
  </si>
  <si>
    <t>اعمار1000 متر پیاده رو ، اعمار یک شبکه تامین اب برای کمپلکس بند امیر ،</t>
  </si>
  <si>
    <t xml:space="preserve">یکه اولنگ </t>
  </si>
  <si>
    <t>احیاء 140 علفچرو 10 هکتار نبات طبی هنگ ، شناسایی 1 انجمن  وتدویرورکشاپ</t>
  </si>
  <si>
    <t>مرکز، سیغان، کهمرد</t>
  </si>
  <si>
    <t xml:space="preserve">ننگرهار </t>
  </si>
  <si>
    <t xml:space="preserve">ښیوه </t>
  </si>
  <si>
    <t xml:space="preserve">احداث جنگل بانکس </t>
  </si>
  <si>
    <t xml:space="preserve">تدویر ورکشاپ آموزشی بانکس </t>
  </si>
  <si>
    <t>خریداری نهال بانکس وانتقال آن به ساحه</t>
  </si>
  <si>
    <t xml:space="preserve">احیا و حفاظت 90هکتار جنگلات طبیعی تخریب شده لمنز، نشتر به 18 پروژه عایداتی معه، اعمار 900 متر مکعب چکدام،بذر5هزار کیلوتخم چهارمغز برای 100 انجمن جنگداری  وتاسیس 100 انجمن </t>
  </si>
  <si>
    <t xml:space="preserve">کنر ها </t>
  </si>
  <si>
    <t xml:space="preserve">مانوگی، وته پور و دانگام </t>
  </si>
  <si>
    <t>احیا وحفاظت قوریه  جهت تولید بیش از 40هزار اصله نهال (احیا 5 جریب قوریه وخیشاوه 4جریب زمین قوریه وسایر فعالیت های تخنیکی )</t>
  </si>
  <si>
    <t>احیا وحفاظت قوریه  جهت تولید بیش از 40هزار اصله نهال (احیا 4جریب قوریه وخیشاوه 2جریب زمین قوریه وسایر فعالیت های تخنیکی )</t>
  </si>
  <si>
    <t>ژیړی</t>
  </si>
  <si>
    <t>احیا وحفاظت قوریه  جهت تولید بیش از 80هزار اصله نهال (احی8 جریب قوریه وخیشاوه 6جریب زمین قوریه وسایر فعالیت های تخنیکی )</t>
  </si>
  <si>
    <t>احیا وحفاظت قوریه  جهت تولید بیش از 80هزار اصله نهال (احیا 8 جریب قوریه وخیشاوه 7جریب زمین قوریه وسایر فعالیت های تخنیکی )</t>
  </si>
  <si>
    <t>احیاء 100 هکتارعلفچرو 10هکتارنبات طبی هنگ ، شناسایی 1 انجمن وتدویر ورکشاپ</t>
  </si>
  <si>
    <t>درایم وتشکان</t>
  </si>
  <si>
    <t>احیای 20 هکتار جنگلات پسته با بذر للمی به کمک 4 پروژه عایداتی و خریداری 40 کیلو گرام تخم پسته.</t>
  </si>
  <si>
    <t>ارگو، درایم و کشکان</t>
  </si>
  <si>
    <t xml:space="preserve">استخدام 15 نفر محافظ ویک نفر سوپوروایرز با خریداری 16 جوره یونفورم جهت حفاظت ومدیریت پارک ملی واخان </t>
  </si>
  <si>
    <t xml:space="preserve">واخان </t>
  </si>
  <si>
    <t>احیاء 100 علفچرو 20 هکتار نبات طبی هنگ ، شناسایی 1 انجمن وتدویرورکشاپ</t>
  </si>
  <si>
    <t>احیا وحفاظت قوریه  جهت تولید بیش از 140هزار اصله نهال (احیا 14 جریب قوریه وخیشاوه 6جریب زمین قوریه وسایر فعالیت های تخنیکی )</t>
  </si>
  <si>
    <t xml:space="preserve">احیای 20 هکتار جنگلات پسته با بذر للمی کمک 4 پروژه عایداتی و خریداری 40 کیلو گرام تخم پسته معه اعمار 200 متر مکعب چکدم </t>
  </si>
  <si>
    <t xml:space="preserve">مرکز، نمک آباد و بارک </t>
  </si>
  <si>
    <t>احیا وحفاظت قوریه  جهت تولید بیش از 150هزار اصله نهال (احیا 15 جریب قوریه وخیشاوه 75جریب زمین قوریه وسایر فعالیت های تخنیکی )</t>
  </si>
  <si>
    <t>بغلان جدید</t>
  </si>
  <si>
    <t>احیاء 140 هکتار علفچرو10هکتارنبات طبی هنگ ،شناسایی 1 انجمن وتدویر ورکشاپ</t>
  </si>
  <si>
    <t>احیا وحفاظت قوریه  جهت تولید بیش از 80هزار اصله نهال (احیا 8جریب قوریه وخیشاوه 6جریب زمین قوریه وسایر فعالیت های تخنیکی )</t>
  </si>
  <si>
    <t>قلعه نو</t>
  </si>
  <si>
    <t xml:space="preserve">احیای 50 هکتار جنگلات به کمک 10 پروژه عایداتی معه خریداری 100 کیلو گرام تخم پسته </t>
  </si>
  <si>
    <t>قادس ، مقر، قلعه نو و مرکز</t>
  </si>
  <si>
    <t>احیا وحفاظت قوریه  جهت تولید بیش از 60هزار اصله نهال (احیا 6 جریب قوریه وخیشاوه 6جریب زمین قوریه وسایر فعالیت های تخنیکی )</t>
  </si>
  <si>
    <t xml:space="preserve">فراه </t>
  </si>
  <si>
    <t>احیاء 40 هکتارعلفچر  ، تثبیت ریگهای روان 50 هکتار، استخدام نگران بدرتخم علوفه وغرس قلمه گز درموازی 4 هکتاروخریداری یکعراده زرنج</t>
  </si>
  <si>
    <t xml:space="preserve">غوریان ورباط سنگی </t>
  </si>
  <si>
    <t xml:space="preserve">احیای 40 هکتار جنگلات پسته با بذر للمی به کمک 8 پروژه عایداتی معه خریداری 80 کیلو گرام تخم پسته </t>
  </si>
  <si>
    <t xml:space="preserve">کشک کهنه، غوریان، رابات سنگی و گذره </t>
  </si>
  <si>
    <t>احیا وحفاظت قوریه  جهت تولید بیش از 60هزار اصله نهال (احیا5جریب قوریه وخیشاوه 7جریب زمین قوریه وسایر فعالیت های تخنیکی )</t>
  </si>
  <si>
    <t>استخدام نگران ،بدرتخم علوفه وغرس قلمه گز درموازی 4 هکتار مرکزارایه خدمات تنظیم علفچر واحیآء 40 هکتارعلفچر</t>
  </si>
  <si>
    <t xml:space="preserve">مرکز ، دولت یار ولعل </t>
  </si>
  <si>
    <t>احیای 20 هکتار بادام کوهی به کمک 4 پروژه عایداتی معه خریداری 40 کیلو گرام تخم بادام کوهی.</t>
  </si>
  <si>
    <t>پریان، شتل و دره عنابه</t>
  </si>
  <si>
    <t>احیاء 100 علفچر، شناسایی 1 انجمن  وتدویرورکشاپ</t>
  </si>
  <si>
    <t>پریان</t>
  </si>
  <si>
    <t xml:space="preserve">بازارک </t>
  </si>
  <si>
    <t xml:space="preserve">ترمیم ذخیره شبکه آبیاری فارم مره لاق </t>
  </si>
  <si>
    <t>احیای 30 هکتار بادام کوهی به کمک 6 پروژه عایداتی معه خریداری 60کیلو گرام تخم بادام کوهی.</t>
  </si>
  <si>
    <t xml:space="preserve">خدیر،میامور </t>
  </si>
  <si>
    <t>احیاء 100 علفچر، شناسایی 1 انجمن وآموزش وتدویرورکشاپ</t>
  </si>
  <si>
    <t xml:space="preserve">خدیر، وسنگ تخت </t>
  </si>
  <si>
    <t xml:space="preserve">شهرستان </t>
  </si>
  <si>
    <t>ترتیب کننده گان</t>
  </si>
  <si>
    <t xml:space="preserve">        محل امضاء</t>
  </si>
  <si>
    <t>تائید کننده</t>
  </si>
  <si>
    <t xml:space="preserve">نصیر احمد درانی </t>
  </si>
  <si>
    <t>عبدالقیوم پاینده</t>
  </si>
  <si>
    <t>مدیر پارک های ملی</t>
  </si>
  <si>
    <t xml:space="preserve">موجودیت 2 نفر کارمندان در بخش بازنگری انجمنها و آموزش آنها در قسمت جمع آوری فنی میوه پسته در مرکز وتهیه پلانهای مدیریتی  جنگلات </t>
  </si>
  <si>
    <t xml:space="preserve">موجودیت احیا وحفاظت  ( 350  )هکتار جنگلات به کمک 70 پروژه عایداتی ،تاسیس 100 انجمن و ایجاد قوریه خانگی برای 100 انجمن های جنگداری  به  منظور حد اقل 300 هزار اصله نهال چهارمغز 
</t>
  </si>
  <si>
    <t xml:space="preserve">شناسی انجمن علفچرها  در ولایات </t>
  </si>
  <si>
    <t xml:space="preserve">حفر 4 حلقه چاه عمیق واعمار تعمیر فارم معه احاطه وملحقات ان  وایجاد 2 شبکه ابیاری فارم </t>
  </si>
  <si>
    <t xml:space="preserve">، ایجاد 1000 متر پیاده رو در پارک ملی بند امیر بامیان </t>
  </si>
  <si>
    <r>
      <t xml:space="preserve">این برنامه دارای 4 بخش عمده ذیل مبیاشد: 
</t>
    </r>
    <r>
      <rPr>
        <b/>
        <sz val="12"/>
        <rFont val="B Nazanin"/>
        <charset val="178"/>
      </rPr>
      <t>الف: احیاوحفاظت جنگلات،آبریزه هاوتنظیم رفع حاصل محصولات جنگل</t>
    </r>
    <r>
      <rPr>
        <sz val="12"/>
        <rFont val="B Nazanin"/>
        <charset val="178"/>
      </rPr>
      <t xml:space="preserve">
(1) احیا و حفاظت(304) هکتار جنگلات، ابریزه ها،  اعمار1300 متر مکعب چکدم ، شناسی 632 انجمن جنگلداری، حفاظت وابیاری30 هزار اصله نهال  به منظور بهبود محیط زیست و معیشت جوامع محل 
(1) تنظیم همه جانبه علفچرها به اشتراک جوامع محلی، احیاء(  1140) هکتار علفچر تخریب شده ، تثبیت (200 ) هکتار ریکهای روان و احیای(100)هکتار نباتات طبی، احیای 16 هکتار مرارکز تولیدی تخم علوفه وقلمه گز وغیره 
</t>
    </r>
    <r>
      <rPr>
        <b/>
        <sz val="12"/>
        <rFont val="B Nazanin"/>
        <charset val="178"/>
      </rPr>
      <t xml:space="preserve">ج :(4)احیای وفارمهای تولید وتکثیر نهالها جهت سرسبز وکسترش فضاس سبز </t>
    </r>
    <r>
      <rPr>
        <sz val="12"/>
        <rFont val="B Nazanin"/>
        <charset val="178"/>
      </rPr>
      <t xml:space="preserve">
احیا وحفاظت قورجات جهت تولید اضافه از 1 ملیون نهال برای سرسبزی واحداث (5) جریب جنگل بانس ، اعمار یک باب تعمیر با احاطه فارم وحفر3 حلقه چاه عمیق با نصب سیستم سولری در فارمها غرض توسعه سرسبزی وبهبود محیط زیست.
</t>
    </r>
    <r>
      <rPr>
        <b/>
        <sz val="12"/>
        <rFont val="B Nazanin"/>
        <charset val="178"/>
      </rPr>
      <t xml:space="preserve">د:) انکشاف ایکوسیستم های با ارزش طبیعی
</t>
    </r>
    <r>
      <rPr>
        <sz val="12"/>
        <rFont val="B Nazanin"/>
        <charset val="178"/>
      </rPr>
      <t xml:space="preserve">حفاظت وتنظیم ایکوسیستم های بار ارزش طبیعی، بهبود معیشت مردم  و تقویت اقتصاد ملی ازطریق اعمار 2900 متر پیاده ور ، ایجاد یک شبکه تامین اب برای تعمیر کمپلکس پارک ملی بند امیر ولایت بامیان معه استخدام 39 نفر پرسونل حفاظتی ومدیریتی سه ساحه حفاظت شده به منظور حفاظت اکوسیستم ها  با ارزش طبیعی ، فراهم اوری تسهیلات لازم با اشتراک حامعه 
</t>
    </r>
  </si>
  <si>
    <r>
      <t xml:space="preserve">این برنامه در مطابقت به ماده چهاردهم و پانزدهم قانون اساسی کشور، طرح استراتیژیک برنامه ملی دارای اولویت اول (NPP1) در رابطه به "انکشاف منابع طبیعی و آب" ، بیانیه تاریخی (2 حمل سال 1394) جلالتماب رئیس جمهور ج.ا.ا. بمناسبت روز دهقان که اهداف حکومت وحدت ملی را در راستای سکتور زراعت برای 5 سال آینده ارایه و طبقآ در بخش منابع طبیعی، اینریاست خود را مکلف برای اجرای اهداف مشخص در خصوص موارد: (1) احیاء و حفاظت جنگلات طبیعی، (2) مطالعه و موجودی پوشش نباتی برای پلانگذاری دقیق، (3) تقویه زنجیره ارزش افزایی و پروسس محصولات جنگل (بخصوص پسته و جلغوزه)، (4) انکشاف جنگلات مصنوعی و سرسبزی در شهر ها و کمربند شهری کابل، (5) حفاظت علفچر ها و احیا مجدد  علفچر، و جلوگیری از ریگ های روان، (6) تنظیم، پروسس و بهره برداری پایدار نباتات طبی (خصوصا هنگ و شرین بویه) توسط جامعه، و (7) انکشاف ایکوسیستم های با ارزش طبیعی، میداند. 
علاوتا، طرح اجزای این برنامه منبی بر پلان منظور شده توسط شورای محترم وزیران در مطابقت به فرمان شماره 45 ریاست ج.ا.ا. در رابطه به احیا و حفاظت جنگلات و آبریزه ها و در مطابقت به دید گاه  وزارت زراعت، آّبیاری و مالداری برای عبور ازتطبیق فعالیت ها از نحوه  پروژه ای به سمت انسجام دهی فعالیت ها تحت چتر برنامه ملی، ترتیب گردیده است. 
 علاوتا این برنامه بصورت همه جانبه موارد پایداری، انکشاف منابع بشری، ایجاد زمینه اشتغال و درآمد و تساوی جندر را با در نظر داشت اصل مشارکت جوامع در نظر گرفته که با این روش میتوان از تخریبات منابع جلوگیری، بنیه و سرمایه های طبیعی کشور را جهت استفاده معقول و پایدار تقویه ، تاثیرات ناگوار تغییرات اقلیمی را کاهش و در نتیجه زمینه را برای ایجاد معیشت پایدارجوامع محلی بهبود و عواید ملی را تقویت بخشید. 
با در نظرداشت اهمیت و مشکلات موجود در راستای حفاظت و تنظیم منابع طبیعی، طرح اجزای این برنامه منبی بر پلان منظور شده توسط شورای محترم وزیران در مطابقت به فرمان شماره 45 ریاست ج.ا.ا. در رابطه به احیا و حفاظت جنگلات و تنظیم آبریزه ها و در مطابقت به دید گاه  وزارت زراعت، آّبیاری و مالداری برای عبور ازتطبیق فعالیت ها از نحوه  پروژه ای به سمت انسجام دهی فعالیت ها تحت چتر برنامه ملی، ترتیب گردیده
طرح این برنامه ملی  به اساس تداوم  فعالیت های انکشافی سال قبل  قرار ذیل ترتیب گردیده است:
</t>
    </r>
    <r>
      <rPr>
        <b/>
        <sz val="12"/>
        <rFont val="B Nazanin"/>
        <charset val="178"/>
      </rPr>
      <t>الف:</t>
    </r>
    <r>
      <rPr>
        <sz val="12"/>
        <rFont val="B Nazanin"/>
        <charset val="178"/>
      </rPr>
      <t xml:space="preserve"> احیا و حفاظت جنگلات، آبریزه ها و تنظیم رفع حاصل محصولات جنگل ب: تنظیم همه جانبه  علفچرها و نباتات طبی ج: سرسبزی و گسترش فضای سبز در حومه شهر ها و کمربند سبز شهر کابل. . </t>
    </r>
    <r>
      <rPr>
        <b/>
        <sz val="12"/>
        <rFont val="B Nazanin"/>
        <charset val="178"/>
      </rPr>
      <t>د:</t>
    </r>
    <r>
      <rPr>
        <sz val="12"/>
        <rFont val="B Nazanin"/>
        <charset val="178"/>
      </rPr>
      <t xml:space="preserve"> انکشاف ایکوسیستم های طبیعی با ارزش.</t>
    </r>
  </si>
  <si>
    <r>
      <rPr>
        <b/>
        <sz val="11"/>
        <rFont val="B Nazanin"/>
        <charset val="178"/>
      </rPr>
      <t xml:space="preserve">معلومات مفصل در مورد  همکاران برنامه/پروژه: 
</t>
    </r>
    <r>
      <rPr>
        <sz val="11"/>
        <rFont val="B Nazanin"/>
        <charset val="178"/>
      </rPr>
      <t>مدیریت و رهبری این برنامه بدوش ریاست عمومی منابع طبیعی بوده ریاست های سکتوری  به صفت همکاران بخش تخنیکی در پییشبرد فعالیت های برنامه با سهم گیری فعال  و مستقیم آمریت های منابع طبیعی و مدیریت جنگلات و علفچرها در چوکات اداره زراعت  به همکاری هیئت ولایتی و  مردم محل صورت میگیرد.
وزارت های مالیه، اقتصاد،  تجارت،  اداره ملی حفاظت محیط زیست،  ریاست مالی و حسابی، ریاست عمومی پلان, ریاست تدارکات، ریاست زراعت ولایات، مستوفیت ولایات، شوراهای ولایتی ، ولسوالی ها انجمن های منابع طبیعی و موسسات همکار منحیث شرکای کاری و همکاران بیرونی این برنامه شمرده میشوند.</t>
    </r>
  </si>
  <si>
    <t xml:space="preserve"> احیای مصنوعی نباتات طبی هنگ وشرین بویه به مساحت 100 هکتار </t>
  </si>
  <si>
    <t>.ارتقای ظرفیت کارمندان علفچر وجامعه محلی واعضای انجمن ها  .</t>
  </si>
  <si>
    <t xml:space="preserve">احیا وففاظت 219 جریب زمین قورجات جهت سرسبزی وگسترش فضای سبز  </t>
  </si>
  <si>
    <t xml:space="preserve"> تثبیت ریکهای روان به مساحت 216 هکتار با نهالهای گز،  سکساول وتاغ درولایات </t>
  </si>
  <si>
    <t>پلان کاری توحیدی سالانه برنامه ملی تنظیم منابع طبیعی  برای سال 1397</t>
  </si>
  <si>
    <t>عبد القیوم پاینده</t>
  </si>
  <si>
    <t xml:space="preserve">           تائید کننده                                                                                                                                                       منظور کننده </t>
  </si>
  <si>
    <t>پرداخت 20% پول تعمیر چهار اتاقه، چاه سپتیک، چاه عمیق و ترمیم گلخانه در فارم قرغه که از سال قبل باقی مانده است</t>
  </si>
  <si>
    <t xml:space="preserve"> بودجه تخمینی سال 1397 </t>
  </si>
  <si>
    <t>فعالیت  3: تهیه وخریداری  590 کیلوگرام تخم پسته ، جلغوزه و بادام کوهی</t>
  </si>
  <si>
    <t xml:space="preserve">فعالیت 2.: بذر مستقیم و قرغ نمودن 320 هکتار جنگلات پسته، جلغوزه ، بادام کوهی و لمنز  به کمک70 پروژه عایداتی در ولایت هرات، بادغیس، تخار، بدخشان، سمنگان ، لوگر ، کنر و پنجشیر </t>
  </si>
  <si>
    <r>
      <t xml:space="preserve"> محصول1. 1</t>
    </r>
    <r>
      <rPr>
        <sz val="10"/>
        <rFont val="B Nazanin"/>
        <charset val="178"/>
      </rPr>
      <t xml:space="preserve">:-موجودیت 320 هکتار جنگلات احیا شده پسته ، جلغوزه  و بادام کوهی به کمک 64 پروژه عایداتی در ولایات هرات، بادغیس، تخار، بدخشان، سمنگان، لوگر، کنر، دایکندی و پنجشیر 
</t>
    </r>
  </si>
  <si>
    <t xml:space="preserve">محصول 3.1:   موجودیت  40 هزار اصله نهال جلغوزه </t>
  </si>
  <si>
    <t xml:space="preserve">پیامد 3:تولید 40 هزار اصله نهال جلغوزه   در ولایات پکیتا، پکتیکا وخوست  </t>
  </si>
  <si>
    <t>فعالیت3:  تهیه 80 کیلوگرام خریطه پلاستیک و بذر80 کیلوگرام تخم جلغوزه در آن برای تولید حدود 20 هزار اصله نهال جلغوزه در ولایت پکتیا</t>
  </si>
  <si>
    <t xml:space="preserve"> فعالیت 1: موجودیت جالی برای سایه نمودن بالای 20 هزار خریطه پلاستیکی بذر شده جلغوزه در ولایت پکتیکا و خوست</t>
  </si>
  <si>
    <t>فعالیت2: حفاظت و آبیاری 20000 خریطه پلاستیکی در ولایات خوست، وپکتیکا</t>
  </si>
  <si>
    <t>محصول 2 : تعداد 10000 اصله نهال بانکس غرس شده است</t>
  </si>
  <si>
    <t>ب : احیای فارم ها و جنگلباغ ها غرض سرسبزی و گسترش فضای سبز</t>
  </si>
  <si>
    <t>پلان عملیاتی پروژه های تنظیم، احیاء و حفاظت جنگلات و آبریزه ها بابت سال مالی 1397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</si>
</sst>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_(* \(#,##0\);_(* &quot;-&quot;_);_(@_)"/>
    <numFmt numFmtId="43" formatCode="_(* #,##0.00_);_(* \(#,##0.00\);_(* &quot;-&quot;??_);_(@_)"/>
    <numFmt numFmtId="164" formatCode="_(* #,##0_);_(* \(#,##0\);_(* &quot;-&quot;??_);_(@_)"/>
    <numFmt numFmtId="165" formatCode="_-* #,##0_-;_-* #,##0\-;_-* &quot;-&quot;??_-;_-@_-"/>
    <numFmt numFmtId="166" formatCode="_(* #,##0.0_);_(* \(#,##0.0\);_(* &quot;-&quot;??_);_(@_)"/>
    <numFmt numFmtId="167" formatCode="00000"/>
    <numFmt numFmtId="168" formatCode="0_);\(0\)"/>
    <numFmt numFmtId="169" formatCode="&quot;$&quot;#,##0.00"/>
    <numFmt numFmtId="170" formatCode="#,##0.000"/>
    <numFmt numFmtId="171" formatCode="_-* #,##0.00_-;_-* #,##0.00\-;_-* &quot;-&quot;??_-;_-@_-"/>
    <numFmt numFmtId="172" formatCode="0.0"/>
    <numFmt numFmtId="173" formatCode="_-[$؋-48C]* #,##0.00_-;_-[$؋-48C]* #,##0.00\-;_-[$؋-48C]* &quot;-&quot;??_-;_-@_-"/>
  </numFmts>
  <fonts count="118">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theme="1"/>
      <name val="Times New Roman"/>
      <family val="1"/>
    </font>
    <font>
      <sz val="10"/>
      <name val="Times New Roman"/>
      <family val="1"/>
    </font>
    <font>
      <sz val="12"/>
      <name val="Times New Roman"/>
      <family val="1"/>
    </font>
    <font>
      <sz val="12"/>
      <color theme="1"/>
      <name val="Times New Roman"/>
      <family val="1"/>
    </font>
    <font>
      <b/>
      <sz val="10"/>
      <name val="Arial"/>
      <family val="2"/>
    </font>
    <font>
      <sz val="10"/>
      <name val="Arial"/>
      <family val="2"/>
    </font>
    <font>
      <sz val="11"/>
      <name val="Calibri"/>
      <family val="2"/>
      <scheme val="minor"/>
    </font>
    <font>
      <sz val="12"/>
      <name val="Arial"/>
      <family val="2"/>
    </font>
    <font>
      <b/>
      <sz val="12"/>
      <name val="Arial"/>
      <family val="2"/>
    </font>
    <font>
      <b/>
      <sz val="10"/>
      <color theme="1"/>
      <name val="Calibri"/>
      <family val="2"/>
      <scheme val="minor"/>
    </font>
    <font>
      <sz val="10"/>
      <color rgb="FFFF0000"/>
      <name val="Arial"/>
      <family val="2"/>
    </font>
    <font>
      <sz val="8"/>
      <name val="Arial"/>
      <family val="2"/>
    </font>
    <font>
      <sz val="10"/>
      <color theme="1"/>
      <name val="Calibri"/>
      <family val="2"/>
      <scheme val="minor"/>
    </font>
    <font>
      <b/>
      <sz val="12"/>
      <color theme="1"/>
      <name val="Calibri"/>
      <family val="2"/>
      <scheme val="minor"/>
    </font>
    <font>
      <sz val="12"/>
      <color theme="1"/>
      <name val="Calibri"/>
      <family val="2"/>
      <scheme val="minor"/>
    </font>
    <font>
      <sz val="11"/>
      <color theme="1"/>
      <name val="Arial"/>
      <family val="2"/>
    </font>
    <font>
      <b/>
      <sz val="14"/>
      <name val="Calibri"/>
      <family val="2"/>
      <scheme val="minor"/>
    </font>
    <font>
      <sz val="10"/>
      <color rgb="FF000000"/>
      <name val="Times New Roman"/>
      <family val="1"/>
    </font>
    <font>
      <sz val="14"/>
      <name val="Arial"/>
      <family val="2"/>
    </font>
    <font>
      <sz val="9"/>
      <name val="Arial"/>
      <family val="2"/>
    </font>
    <font>
      <b/>
      <sz val="9"/>
      <name val="Arial"/>
      <family val="2"/>
    </font>
    <font>
      <b/>
      <sz val="12"/>
      <color theme="1"/>
      <name val="Times New Roman"/>
      <family val="1"/>
    </font>
    <font>
      <b/>
      <sz val="10"/>
      <name val="2  Nazanin"/>
      <charset val="178"/>
    </font>
    <font>
      <b/>
      <sz val="14"/>
      <name val="2  Nazanin"/>
      <charset val="178"/>
    </font>
    <font>
      <b/>
      <sz val="12"/>
      <name val="2  Nazanin"/>
      <charset val="178"/>
    </font>
    <font>
      <b/>
      <sz val="9"/>
      <name val="2  Nazanin"/>
      <charset val="178"/>
    </font>
    <font>
      <sz val="9"/>
      <name val="2  Nazanin"/>
      <charset val="178"/>
    </font>
    <font>
      <sz val="11"/>
      <name val="2  Nazanin"/>
      <charset val="178"/>
    </font>
    <font>
      <b/>
      <sz val="11"/>
      <name val="2  Nazanin"/>
      <charset val="178"/>
    </font>
    <font>
      <sz val="11"/>
      <name val="Arial"/>
      <family val="2"/>
    </font>
    <font>
      <sz val="12"/>
      <name val="2  Nazanin"/>
      <charset val="178"/>
    </font>
    <font>
      <sz val="14"/>
      <name val="2  Nazanin"/>
      <charset val="178"/>
    </font>
    <font>
      <u/>
      <sz val="10"/>
      <color indexed="12"/>
      <name val="Arial"/>
      <family val="2"/>
    </font>
    <font>
      <sz val="10"/>
      <color indexed="8"/>
      <name val="2  Nazanin"/>
      <charset val="178"/>
    </font>
    <font>
      <b/>
      <sz val="9"/>
      <color rgb="FFFF0000"/>
      <name val="Arial"/>
      <family val="2"/>
    </font>
    <font>
      <b/>
      <sz val="9"/>
      <color theme="1"/>
      <name val="Arial"/>
      <family val="2"/>
    </font>
    <font>
      <sz val="10"/>
      <color indexed="8"/>
      <name val="Arial"/>
      <family val="2"/>
    </font>
    <font>
      <b/>
      <sz val="14"/>
      <color rgb="FFFF0000"/>
      <name val="Calibri"/>
      <family val="2"/>
      <scheme val="minor"/>
    </font>
    <font>
      <b/>
      <sz val="12"/>
      <name val="Calibri"/>
      <family val="2"/>
      <scheme val="minor"/>
    </font>
    <font>
      <b/>
      <sz val="11"/>
      <name val="Arial"/>
      <family val="2"/>
    </font>
    <font>
      <b/>
      <sz val="14"/>
      <name val="Arial"/>
      <family val="2"/>
    </font>
    <font>
      <sz val="12"/>
      <name val="Calibri"/>
      <family val="2"/>
      <scheme val="minor"/>
    </font>
    <font>
      <sz val="8"/>
      <name val="Times New Roman"/>
      <family val="1"/>
    </font>
    <font>
      <b/>
      <sz val="9"/>
      <color indexed="81"/>
      <name val="Tahoma"/>
      <family val="2"/>
    </font>
    <font>
      <sz val="9"/>
      <color indexed="81"/>
      <name val="Tahoma"/>
      <family val="2"/>
    </font>
    <font>
      <sz val="20"/>
      <name val="Arial"/>
      <family val="2"/>
    </font>
    <font>
      <sz val="18"/>
      <name val="Arial"/>
      <family val="2"/>
    </font>
    <font>
      <sz val="16"/>
      <name val="Arial"/>
      <family val="2"/>
    </font>
    <font>
      <sz val="12"/>
      <name val="B Zar"/>
      <charset val="178"/>
    </font>
    <font>
      <sz val="18"/>
      <color theme="1"/>
      <name val="Calibri"/>
      <family val="2"/>
      <scheme val="minor"/>
    </font>
    <font>
      <sz val="14"/>
      <color theme="1"/>
      <name val="Calibri"/>
      <family val="2"/>
      <scheme val="minor"/>
    </font>
    <font>
      <sz val="12"/>
      <name val="Calibri"/>
      <family val="2"/>
    </font>
    <font>
      <sz val="11"/>
      <color indexed="8"/>
      <name val="Calibri"/>
      <family val="2"/>
    </font>
    <font>
      <i/>
      <sz val="12"/>
      <name val="Arial"/>
      <family val="2"/>
    </font>
    <font>
      <sz val="9"/>
      <color rgb="FFFF0000"/>
      <name val="Arial"/>
      <family val="2"/>
    </font>
    <font>
      <sz val="11"/>
      <color theme="4" tint="0.79998168889431442"/>
      <name val="Calibri"/>
      <family val="2"/>
      <scheme val="minor"/>
    </font>
    <font>
      <sz val="11"/>
      <color theme="0" tint="-0.249977111117893"/>
      <name val="Calibri"/>
      <family val="2"/>
      <scheme val="minor"/>
    </font>
    <font>
      <b/>
      <sz val="8"/>
      <name val="Arial"/>
      <family val="2"/>
    </font>
    <font>
      <sz val="14"/>
      <name val="Times New Roman"/>
      <family val="1"/>
    </font>
    <font>
      <b/>
      <sz val="14"/>
      <color theme="1"/>
      <name val="Times New Roman"/>
      <family val="1"/>
    </font>
    <font>
      <sz val="14"/>
      <color theme="1"/>
      <name val="Times New Roman"/>
      <family val="1"/>
    </font>
    <font>
      <sz val="12"/>
      <color theme="1"/>
      <name val="B Nazanin"/>
      <charset val="178"/>
    </font>
    <font>
      <b/>
      <sz val="12"/>
      <color theme="1"/>
      <name val="B Nazanin"/>
      <charset val="178"/>
    </font>
    <font>
      <b/>
      <sz val="12"/>
      <name val="B Nazanin"/>
      <charset val="178"/>
    </font>
    <font>
      <sz val="12"/>
      <name val="B Nazanin"/>
      <charset val="178"/>
    </font>
    <font>
      <sz val="9"/>
      <color theme="1"/>
      <name val="Times New Roman"/>
      <family val="1"/>
    </font>
    <font>
      <b/>
      <sz val="9"/>
      <color theme="1"/>
      <name val="Times New Roman"/>
      <family val="1"/>
    </font>
    <font>
      <b/>
      <sz val="11"/>
      <name val="Calibri"/>
      <family val="2"/>
      <scheme val="minor"/>
    </font>
    <font>
      <sz val="11"/>
      <color theme="1"/>
      <name val="B Nazanin"/>
      <charset val="178"/>
    </font>
    <font>
      <b/>
      <sz val="11"/>
      <name val="B Nazanin"/>
      <charset val="178"/>
    </font>
    <font>
      <b/>
      <sz val="11"/>
      <color theme="1"/>
      <name val="B Nazanin"/>
      <charset val="178"/>
    </font>
    <font>
      <b/>
      <sz val="14"/>
      <color theme="1"/>
      <name val="B Nazanin"/>
      <charset val="178"/>
    </font>
    <font>
      <b/>
      <sz val="10"/>
      <name val="Calibri"/>
      <family val="2"/>
      <scheme val="minor"/>
    </font>
    <font>
      <sz val="10"/>
      <name val="Calibri"/>
      <family val="2"/>
      <scheme val="minor"/>
    </font>
    <font>
      <sz val="12"/>
      <color rgb="FF000000"/>
      <name val="Times New Roman"/>
      <family val="1"/>
    </font>
    <font>
      <b/>
      <sz val="14"/>
      <color theme="1"/>
      <name val="0 Nazanin"/>
      <charset val="178"/>
    </font>
    <font>
      <sz val="14"/>
      <color theme="1"/>
      <name val="0 Nazanin"/>
      <charset val="178"/>
    </font>
    <font>
      <b/>
      <sz val="14"/>
      <color rgb="FF000000"/>
      <name val="0 Nazanin"/>
      <charset val="178"/>
    </font>
    <font>
      <sz val="14"/>
      <name val="0 Nazanin"/>
      <charset val="178"/>
    </font>
    <font>
      <b/>
      <sz val="10"/>
      <color theme="1"/>
      <name val="B Nazanin"/>
      <charset val="178"/>
    </font>
    <font>
      <sz val="10"/>
      <name val="B Nazanin"/>
      <charset val="178"/>
    </font>
    <font>
      <sz val="12"/>
      <color theme="1"/>
      <name val="Arial"/>
      <family val="2"/>
    </font>
    <font>
      <sz val="12"/>
      <name val="B Zar"/>
    </font>
    <font>
      <b/>
      <sz val="16"/>
      <color theme="1"/>
      <name val="Calibri"/>
      <family val="2"/>
      <scheme val="minor"/>
    </font>
    <font>
      <b/>
      <sz val="14"/>
      <color rgb="FF000000"/>
      <name val="B Nazanin"/>
      <charset val="178"/>
    </font>
    <font>
      <sz val="14"/>
      <name val="B Nazanin"/>
      <charset val="178"/>
    </font>
    <font>
      <sz val="12"/>
      <color rgb="FF000000"/>
      <name val="B Nazanin"/>
      <charset val="178"/>
    </font>
    <font>
      <sz val="11"/>
      <name val="B Nazanin"/>
      <charset val="178"/>
    </font>
    <font>
      <sz val="14"/>
      <color rgb="FF000000"/>
      <name val="Calibri"/>
      <family val="2"/>
      <scheme val="minor"/>
    </font>
    <font>
      <b/>
      <sz val="14"/>
      <color rgb="FF000000"/>
      <name val="Calibri"/>
      <family val="2"/>
      <scheme val="minor"/>
    </font>
    <font>
      <sz val="12"/>
      <color rgb="FF000000"/>
      <name val="Calibri"/>
      <family val="2"/>
      <scheme val="minor"/>
    </font>
    <font>
      <sz val="11"/>
      <color rgb="FF000000"/>
      <name val="Calibri"/>
      <family val="2"/>
      <scheme val="minor"/>
    </font>
    <font>
      <sz val="14"/>
      <name val="Calibri"/>
      <family val="2"/>
      <scheme val="minor"/>
    </font>
    <font>
      <b/>
      <sz val="12"/>
      <color theme="0"/>
      <name val="B Nazanin"/>
      <charset val="178"/>
    </font>
    <font>
      <sz val="11"/>
      <color theme="1"/>
      <name val="0 Nazanin"/>
      <charset val="178"/>
    </font>
    <font>
      <b/>
      <sz val="12"/>
      <color theme="0"/>
      <name val="Calibri"/>
      <family val="2"/>
      <scheme val="minor"/>
    </font>
    <font>
      <b/>
      <sz val="10"/>
      <color theme="0"/>
      <name val="B Nazanin"/>
      <charset val="178"/>
    </font>
    <font>
      <b/>
      <sz val="16"/>
      <color theme="0"/>
      <name val="B Nazanin"/>
      <charset val="178"/>
    </font>
    <font>
      <sz val="16"/>
      <color theme="0"/>
      <name val="0 Nazanin"/>
      <charset val="178"/>
    </font>
    <font>
      <sz val="16"/>
      <color theme="0"/>
      <name val="Calibri"/>
      <family val="2"/>
      <scheme val="minor"/>
    </font>
    <font>
      <b/>
      <sz val="16"/>
      <color theme="0"/>
      <name val="Calibri"/>
      <family val="2"/>
      <scheme val="minor"/>
    </font>
    <font>
      <b/>
      <sz val="12"/>
      <color rgb="FF000000"/>
      <name val="B Nazanin"/>
      <charset val="178"/>
    </font>
    <font>
      <sz val="11"/>
      <color rgb="FF000000"/>
      <name val="B Nazanin"/>
      <charset val="178"/>
    </font>
    <font>
      <b/>
      <sz val="11"/>
      <color rgb="FF000000"/>
      <name val="B Nazanin"/>
      <charset val="178"/>
    </font>
    <font>
      <b/>
      <sz val="11"/>
      <color theme="1"/>
      <name val="0 Nazanin"/>
      <charset val="178"/>
    </font>
    <font>
      <b/>
      <sz val="16"/>
      <color theme="1"/>
      <name val="0 Nazanin"/>
      <charset val="178"/>
    </font>
    <font>
      <sz val="16"/>
      <color theme="1"/>
      <name val="Calibri"/>
      <family val="2"/>
      <scheme val="minor"/>
    </font>
    <font>
      <b/>
      <sz val="14"/>
      <color rgb="FFFF0000"/>
      <name val="Times New Roman"/>
      <family val="1"/>
    </font>
    <font>
      <b/>
      <u/>
      <sz val="14"/>
      <color theme="1"/>
      <name val="Times New Roman"/>
      <family val="1"/>
    </font>
    <font>
      <b/>
      <sz val="14"/>
      <name val="B Nazanin"/>
      <charset val="178"/>
    </font>
    <font>
      <u/>
      <sz val="12"/>
      <color indexed="12"/>
      <name val="B Nazanin"/>
      <charset val="178"/>
    </font>
    <font>
      <sz val="12"/>
      <color indexed="8"/>
      <name val="B Nazanin"/>
      <charset val="178"/>
    </font>
    <font>
      <b/>
      <sz val="12"/>
      <color rgb="FFFF0000"/>
      <name val="Arial"/>
      <family val="2"/>
    </font>
    <font>
      <sz val="11"/>
      <color rgb="FFFF0000"/>
      <name val="B Nazanin"/>
      <charset val="178"/>
    </font>
  </fonts>
  <fills count="32">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92D050"/>
        <bgColor indexed="64"/>
      </patternFill>
    </fill>
    <fill>
      <patternFill patternType="solid">
        <fgColor rgb="FF00B050"/>
        <bgColor indexed="64"/>
      </patternFill>
    </fill>
    <fill>
      <patternFill patternType="solid">
        <fgColor rgb="FFBFBFBF"/>
        <bgColor indexed="64"/>
      </patternFill>
    </fill>
    <fill>
      <patternFill patternType="solid">
        <fgColor theme="0" tint="-0.249977111117893"/>
        <bgColor indexed="64"/>
      </patternFill>
    </fill>
    <fill>
      <patternFill patternType="solid">
        <fgColor rgb="FFFFFFFF"/>
        <bgColor indexed="64"/>
      </patternFill>
    </fill>
    <fill>
      <patternFill patternType="solid">
        <fgColor indexed="9"/>
        <bgColor indexed="64"/>
      </patternFill>
    </fill>
    <fill>
      <patternFill patternType="solid">
        <fgColor theme="8" tint="0.39997558519241921"/>
        <bgColor indexed="64"/>
      </patternFill>
    </fill>
    <fill>
      <patternFill patternType="solid">
        <fgColor rgb="FFA6A6A6"/>
        <bgColor indexed="64"/>
      </patternFill>
    </fill>
    <fill>
      <patternFill patternType="solid">
        <fgColor theme="7" tint="0.39997558519241921"/>
        <bgColor indexed="64"/>
      </patternFill>
    </fill>
    <fill>
      <patternFill patternType="solid">
        <fgColor rgb="FFED7727"/>
        <bgColor indexed="64"/>
      </patternFill>
    </fill>
    <fill>
      <patternFill patternType="solid">
        <fgColor theme="7" tint="0.59999389629810485"/>
        <bgColor indexed="64"/>
      </patternFill>
    </fill>
    <fill>
      <patternFill patternType="solid">
        <fgColor indexed="13"/>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rgb="FFFFC000"/>
        <bgColor indexed="64"/>
      </patternFill>
    </fill>
    <fill>
      <patternFill patternType="solid">
        <fgColor theme="3" tint="-0.499984740745262"/>
        <bgColor indexed="64"/>
      </patternFill>
    </fill>
    <fill>
      <patternFill patternType="solid">
        <fgColor theme="5" tint="-0.24997711111789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4">
    <xf numFmtId="0" fontId="0" fillId="0" borderId="0"/>
    <xf numFmtId="43" fontId="1"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36" fillId="0" borderId="0" applyNumberFormat="0" applyFill="0" applyBorder="0" applyAlignment="0" applyProtection="0">
      <alignment vertical="top"/>
      <protection locked="0"/>
    </xf>
    <xf numFmtId="9" fontId="1" fillId="0" borderId="0" applyFont="0" applyFill="0" applyBorder="0" applyAlignment="0" applyProtection="0"/>
    <xf numFmtId="9" fontId="56" fillId="0" borderId="0" applyFont="0" applyFill="0" applyBorder="0" applyAlignment="0" applyProtection="0"/>
    <xf numFmtId="0" fontId="9" fillId="0" borderId="0"/>
    <xf numFmtId="170" fontId="9" fillId="0" borderId="0" applyFont="0" applyFill="0" applyBorder="0" applyAlignment="0" applyProtection="0"/>
    <xf numFmtId="170" fontId="9" fillId="0" borderId="0" applyFont="0" applyFill="0" applyBorder="0" applyAlignment="0" applyProtection="0"/>
    <xf numFmtId="164" fontId="9" fillId="0" borderId="0" applyFont="0" applyFill="0" applyBorder="0" applyAlignment="0" applyProtection="0"/>
  </cellStyleXfs>
  <cellXfs count="1669">
    <xf numFmtId="0" fontId="0" fillId="0" borderId="0" xfId="0"/>
    <xf numFmtId="0" fontId="0" fillId="0" borderId="0" xfId="0" applyBorder="1"/>
    <xf numFmtId="0" fontId="0" fillId="0" borderId="0" xfId="0" applyAlignment="1">
      <alignment vertical="center"/>
    </xf>
    <xf numFmtId="0" fontId="0" fillId="0" borderId="1" xfId="0" applyBorder="1" applyAlignment="1">
      <alignment wrapText="1"/>
    </xf>
    <xf numFmtId="0" fontId="4" fillId="4" borderId="1" xfId="0" applyFont="1" applyFill="1" applyBorder="1" applyAlignment="1">
      <alignment vertical="center" wrapText="1" readingOrder="2"/>
    </xf>
    <xf numFmtId="0" fontId="0" fillId="0" borderId="1" xfId="0" applyBorder="1" applyAlignment="1">
      <alignment vertical="center"/>
    </xf>
    <xf numFmtId="164" fontId="0" fillId="0" borderId="1" xfId="1" applyNumberFormat="1" applyFont="1" applyBorder="1"/>
    <xf numFmtId="0" fontId="0" fillId="4" borderId="0" xfId="0" applyFill="1"/>
    <xf numFmtId="0" fontId="4" fillId="0" borderId="1" xfId="0" applyFont="1" applyBorder="1" applyAlignment="1">
      <alignment vertical="center" wrapText="1" readingOrder="2"/>
    </xf>
    <xf numFmtId="0" fontId="16" fillId="0" borderId="0" xfId="0" applyFont="1"/>
    <xf numFmtId="0" fontId="17" fillId="16" borderId="1" xfId="0" applyFont="1" applyFill="1" applyBorder="1" applyAlignment="1">
      <alignment horizontal="center" vertical="center" wrapText="1"/>
    </xf>
    <xf numFmtId="0" fontId="17" fillId="16" borderId="1" xfId="0" applyFont="1" applyFill="1" applyBorder="1" applyAlignment="1">
      <alignment horizontal="center" vertical="center"/>
    </xf>
    <xf numFmtId="0" fontId="17" fillId="0" borderId="1" xfId="0" applyFont="1" applyBorder="1" applyAlignment="1">
      <alignment horizontal="center" vertical="center"/>
    </xf>
    <xf numFmtId="164" fontId="18" fillId="4" borderId="1" xfId="1" applyNumberFormat="1" applyFont="1" applyFill="1" applyBorder="1" applyAlignment="1">
      <alignment horizontal="center" vertical="center"/>
    </xf>
    <xf numFmtId="166" fontId="17" fillId="4" borderId="1" xfId="1" applyNumberFormat="1" applyFont="1" applyFill="1" applyBorder="1" applyAlignment="1">
      <alignment horizontal="right" vertical="center" wrapText="1" readingOrder="2"/>
    </xf>
    <xf numFmtId="164" fontId="30" fillId="0" borderId="1" xfId="3" applyNumberFormat="1" applyFont="1" applyFill="1" applyBorder="1" applyAlignment="1" applyProtection="1">
      <alignment vertical="center"/>
      <protection locked="0"/>
    </xf>
    <xf numFmtId="0" fontId="30" fillId="0" borderId="1" xfId="3" applyFont="1" applyFill="1" applyBorder="1" applyAlignment="1" applyProtection="1">
      <alignment vertical="center"/>
      <protection locked="0"/>
    </xf>
    <xf numFmtId="164" fontId="29" fillId="0" borderId="1" xfId="3" applyNumberFormat="1" applyFont="1" applyFill="1" applyBorder="1" applyAlignment="1" applyProtection="1">
      <alignment horizontal="center"/>
      <protection locked="0"/>
    </xf>
    <xf numFmtId="164" fontId="30" fillId="0" borderId="1" xfId="3" applyNumberFormat="1" applyFont="1" applyFill="1" applyBorder="1" applyAlignment="1" applyProtection="1">
      <alignment horizontal="right"/>
      <protection locked="0"/>
    </xf>
    <xf numFmtId="167" fontId="37" fillId="0" borderId="1" xfId="3" applyNumberFormat="1" applyFont="1" applyBorder="1"/>
    <xf numFmtId="164" fontId="30" fillId="0" borderId="1" xfId="3" applyNumberFormat="1" applyFont="1" applyFill="1" applyBorder="1" applyAlignment="1" applyProtection="1">
      <alignment horizontal="left"/>
      <protection locked="0"/>
    </xf>
    <xf numFmtId="0" fontId="30" fillId="0" borderId="1" xfId="3" applyFont="1" applyFill="1" applyBorder="1" applyAlignment="1" applyProtection="1">
      <protection locked="0"/>
    </xf>
    <xf numFmtId="3" fontId="23" fillId="0" borderId="1" xfId="3" applyNumberFormat="1" applyFont="1" applyFill="1" applyBorder="1" applyAlignment="1" applyProtection="1">
      <protection locked="0"/>
    </xf>
    <xf numFmtId="164" fontId="23" fillId="0" borderId="1" xfId="3" applyNumberFormat="1" applyFont="1" applyFill="1" applyBorder="1" applyAlignment="1" applyProtection="1">
      <protection locked="0"/>
    </xf>
    <xf numFmtId="0" fontId="23" fillId="0" borderId="1" xfId="3" applyFont="1" applyFill="1" applyBorder="1" applyAlignment="1" applyProtection="1">
      <alignment vertical="center"/>
      <protection locked="0"/>
    </xf>
    <xf numFmtId="164" fontId="23" fillId="0" borderId="1" xfId="3" applyNumberFormat="1" applyFont="1" applyFill="1" applyBorder="1" applyAlignment="1" applyProtection="1">
      <alignment horizontal="right" vertical="center"/>
      <protection locked="0"/>
    </xf>
    <xf numFmtId="164" fontId="23" fillId="0" borderId="1" xfId="3" applyNumberFormat="1" applyFont="1" applyFill="1" applyBorder="1" applyAlignment="1" applyProtection="1">
      <alignment vertical="center"/>
      <protection locked="0"/>
    </xf>
    <xf numFmtId="164" fontId="24" fillId="18" borderId="1" xfId="3" applyNumberFormat="1" applyFont="1" applyFill="1" applyBorder="1" applyAlignment="1" applyProtection="1">
      <alignment horizontal="center"/>
      <protection locked="0"/>
    </xf>
    <xf numFmtId="0" fontId="8" fillId="18" borderId="1" xfId="3" applyFont="1" applyFill="1" applyBorder="1" applyAlignment="1" applyProtection="1">
      <alignment horizontal="center"/>
    </xf>
    <xf numFmtId="0" fontId="24" fillId="18" borderId="1" xfId="3" applyFont="1" applyFill="1" applyBorder="1" applyAlignment="1" applyProtection="1">
      <alignment horizontal="center"/>
      <protection locked="0"/>
    </xf>
    <xf numFmtId="164" fontId="23" fillId="0" borderId="1" xfId="1" applyNumberFormat="1" applyFont="1" applyFill="1" applyBorder="1" applyAlignment="1" applyProtection="1">
      <alignment horizontal="right"/>
    </xf>
    <xf numFmtId="164" fontId="23" fillId="0" borderId="1" xfId="3" applyNumberFormat="1" applyFont="1" applyFill="1" applyBorder="1" applyAlignment="1" applyProtection="1">
      <alignment horizontal="right"/>
    </xf>
    <xf numFmtId="3" fontId="23" fillId="0" borderId="1" xfId="3" applyNumberFormat="1" applyFont="1" applyFill="1" applyBorder="1" applyAlignment="1" applyProtection="1">
      <alignment horizontal="right"/>
    </xf>
    <xf numFmtId="0" fontId="24" fillId="0" borderId="1" xfId="3" applyNumberFormat="1" applyFont="1" applyFill="1" applyBorder="1" applyAlignment="1" applyProtection="1">
      <alignment horizontal="right"/>
    </xf>
    <xf numFmtId="3" fontId="24" fillId="0" borderId="1" xfId="3" applyNumberFormat="1" applyFont="1" applyFill="1" applyBorder="1" applyAlignment="1" applyProtection="1">
      <alignment horizontal="right"/>
    </xf>
    <xf numFmtId="164" fontId="23" fillId="0" borderId="1" xfId="2" applyNumberFormat="1" applyFont="1" applyFill="1" applyBorder="1" applyAlignment="1" applyProtection="1">
      <alignment horizontal="right"/>
    </xf>
    <xf numFmtId="164" fontId="38" fillId="19" borderId="1" xfId="2" applyNumberFormat="1" applyFont="1" applyFill="1" applyBorder="1" applyAlignment="1" applyProtection="1">
      <alignment horizontal="right"/>
    </xf>
    <xf numFmtId="164" fontId="24" fillId="19" borderId="1" xfId="2" applyNumberFormat="1" applyFont="1" applyFill="1" applyBorder="1" applyAlignment="1" applyProtection="1">
      <alignment horizontal="right"/>
    </xf>
    <xf numFmtId="0" fontId="24" fillId="0" borderId="1" xfId="3" applyFont="1" applyFill="1" applyBorder="1" applyAlignment="1" applyProtection="1">
      <alignment horizontal="right"/>
    </xf>
    <xf numFmtId="164" fontId="24" fillId="0" borderId="1" xfId="2" applyNumberFormat="1" applyFont="1" applyFill="1" applyBorder="1" applyAlignment="1" applyProtection="1">
      <alignment horizontal="right"/>
    </xf>
    <xf numFmtId="0" fontId="8" fillId="18" borderId="1" xfId="3" applyFont="1" applyFill="1" applyBorder="1" applyAlignment="1" applyProtection="1"/>
    <xf numFmtId="0" fontId="8" fillId="18" borderId="1" xfId="3" applyFont="1" applyFill="1" applyBorder="1" applyAlignment="1" applyProtection="1">
      <alignment horizontal="right" vertical="center" wrapText="1"/>
    </xf>
    <xf numFmtId="164" fontId="8" fillId="18" borderId="1" xfId="3" applyNumberFormat="1" applyFont="1" applyFill="1" applyBorder="1" applyAlignment="1" applyProtection="1">
      <alignment horizontal="center" vertical="center" wrapText="1"/>
    </xf>
    <xf numFmtId="164" fontId="23" fillId="4" borderId="1" xfId="1" applyNumberFormat="1" applyFont="1" applyFill="1" applyBorder="1" applyAlignment="1" applyProtection="1">
      <alignment horizontal="right"/>
    </xf>
    <xf numFmtId="0" fontId="9" fillId="4" borderId="1" xfId="6" applyFont="1" applyFill="1" applyBorder="1" applyAlignment="1" applyProtection="1">
      <alignment horizontal="right"/>
    </xf>
    <xf numFmtId="164" fontId="33" fillId="4" borderId="1" xfId="1" applyNumberFormat="1" applyFont="1" applyFill="1" applyBorder="1" applyAlignment="1" applyProtection="1"/>
    <xf numFmtId="164" fontId="33" fillId="4" borderId="1" xfId="1" applyNumberFormat="1" applyFont="1" applyFill="1" applyBorder="1" applyAlignment="1" applyProtection="1">
      <alignment horizontal="right"/>
    </xf>
    <xf numFmtId="164" fontId="23" fillId="4" borderId="1" xfId="1" applyNumberFormat="1" applyFont="1" applyFill="1" applyBorder="1" applyAlignment="1" applyProtection="1"/>
    <xf numFmtId="0" fontId="40" fillId="4" borderId="1" xfId="6" applyFont="1" applyFill="1" applyBorder="1" applyAlignment="1" applyProtection="1">
      <alignment horizontal="right"/>
    </xf>
    <xf numFmtId="164" fontId="23" fillId="4" borderId="1" xfId="1" applyNumberFormat="1" applyFont="1" applyFill="1" applyBorder="1" applyAlignment="1" applyProtection="1">
      <alignment vertical="center"/>
    </xf>
    <xf numFmtId="0" fontId="23" fillId="0" borderId="1" xfId="3" applyFont="1" applyFill="1" applyBorder="1"/>
    <xf numFmtId="164" fontId="23" fillId="0" borderId="1" xfId="3" applyNumberFormat="1" applyFont="1" applyFill="1" applyBorder="1" applyAlignment="1">
      <alignment horizontal="center" wrapText="1"/>
    </xf>
    <xf numFmtId="14" fontId="23" fillId="0" borderId="1" xfId="3" applyNumberFormat="1" applyFont="1" applyFill="1" applyBorder="1" applyAlignment="1">
      <alignment horizontal="center"/>
    </xf>
    <xf numFmtId="164" fontId="2" fillId="18" borderId="1" xfId="0" applyNumberFormat="1" applyFont="1" applyFill="1" applyBorder="1" applyAlignment="1">
      <alignment horizontal="center" vertical="center"/>
    </xf>
    <xf numFmtId="164" fontId="2" fillId="18" borderId="1" xfId="0" applyNumberFormat="1" applyFont="1" applyFill="1" applyBorder="1" applyAlignment="1">
      <alignment horizontal="center"/>
    </xf>
    <xf numFmtId="0" fontId="2" fillId="18" borderId="1" xfId="0" applyFont="1" applyFill="1" applyBorder="1" applyAlignment="1">
      <alignment horizontal="center"/>
    </xf>
    <xf numFmtId="164" fontId="0" fillId="0" borderId="1" xfId="0" applyNumberFormat="1" applyBorder="1" applyAlignment="1">
      <alignment vertical="center"/>
    </xf>
    <xf numFmtId="0" fontId="2" fillId="0" borderId="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6" xfId="0" applyFont="1" applyBorder="1" applyAlignment="1">
      <alignment vertical="center"/>
    </xf>
    <xf numFmtId="0" fontId="2" fillId="0" borderId="0" xfId="0" applyFont="1" applyBorder="1" applyAlignment="1">
      <alignment vertical="center"/>
    </xf>
    <xf numFmtId="43" fontId="18" fillId="4" borderId="1" xfId="1" applyNumberFormat="1" applyFont="1" applyFill="1" applyBorder="1" applyAlignment="1">
      <alignment horizontal="center" vertical="center"/>
    </xf>
    <xf numFmtId="166" fontId="18" fillId="4" borderId="1" xfId="1" applyNumberFormat="1" applyFont="1" applyFill="1" applyBorder="1" applyAlignment="1">
      <alignment horizontal="center" vertical="center"/>
    </xf>
    <xf numFmtId="0" fontId="18" fillId="0" borderId="0" xfId="0" applyFont="1"/>
    <xf numFmtId="166" fontId="17" fillId="17" borderId="1" xfId="1" applyNumberFormat="1" applyFont="1" applyFill="1" applyBorder="1" applyAlignment="1">
      <alignment horizontal="center" vertical="center"/>
    </xf>
    <xf numFmtId="166" fontId="17" fillId="6" borderId="1" xfId="1" applyNumberFormat="1" applyFont="1" applyFill="1" applyBorder="1" applyAlignment="1">
      <alignment horizontal="center" vertical="center"/>
    </xf>
    <xf numFmtId="0" fontId="3" fillId="8" borderId="13" xfId="0" applyFont="1" applyFill="1" applyBorder="1" applyAlignment="1">
      <alignment vertical="center"/>
    </xf>
    <xf numFmtId="0" fontId="3" fillId="8" borderId="14" xfId="0" applyFont="1" applyFill="1" applyBorder="1" applyAlignment="1">
      <alignment vertical="center"/>
    </xf>
    <xf numFmtId="0" fontId="3" fillId="8" borderId="5" xfId="0" applyFont="1" applyFill="1" applyBorder="1" applyAlignment="1">
      <alignment vertical="center"/>
    </xf>
    <xf numFmtId="0" fontId="3" fillId="8" borderId="5" xfId="0" applyFont="1" applyFill="1" applyBorder="1" applyAlignment="1">
      <alignment horizontal="center" vertical="center"/>
    </xf>
    <xf numFmtId="0" fontId="17" fillId="16" borderId="8" xfId="0" applyFont="1" applyFill="1" applyBorder="1" applyAlignment="1">
      <alignment horizontal="center" vertical="center"/>
    </xf>
    <xf numFmtId="0" fontId="17" fillId="16" borderId="24" xfId="0" applyFont="1" applyFill="1" applyBorder="1" applyAlignment="1">
      <alignment horizontal="center" vertical="center"/>
    </xf>
    <xf numFmtId="0" fontId="17" fillId="16" borderId="17" xfId="0" applyFont="1" applyFill="1" applyBorder="1" applyAlignment="1">
      <alignment horizontal="center" vertical="center"/>
    </xf>
    <xf numFmtId="0" fontId="17" fillId="16" borderId="22" xfId="0" applyFont="1" applyFill="1" applyBorder="1" applyAlignment="1">
      <alignment horizontal="center" vertical="center"/>
    </xf>
    <xf numFmtId="0" fontId="17" fillId="16" borderId="7" xfId="0" applyFont="1" applyFill="1" applyBorder="1" applyAlignment="1">
      <alignment horizontal="center" vertical="center"/>
    </xf>
    <xf numFmtId="166" fontId="17" fillId="4" borderId="13" xfId="1" applyNumberFormat="1" applyFont="1" applyFill="1" applyBorder="1" applyAlignment="1">
      <alignment horizontal="right" vertical="center"/>
    </xf>
    <xf numFmtId="166" fontId="17" fillId="4" borderId="5" xfId="1" applyNumberFormat="1" applyFont="1" applyFill="1" applyBorder="1" applyAlignment="1">
      <alignment horizontal="right" vertical="center"/>
    </xf>
    <xf numFmtId="166" fontId="17" fillId="4" borderId="1" xfId="1" applyNumberFormat="1" applyFont="1" applyFill="1" applyBorder="1" applyAlignment="1">
      <alignment horizontal="center" vertical="center" wrapText="1"/>
    </xf>
    <xf numFmtId="166" fontId="17" fillId="17" borderId="13" xfId="1" applyNumberFormat="1" applyFont="1" applyFill="1" applyBorder="1" applyAlignment="1">
      <alignment vertical="center"/>
    </xf>
    <xf numFmtId="166" fontId="17" fillId="17" borderId="14" xfId="1" applyNumberFormat="1" applyFont="1" applyFill="1" applyBorder="1" applyAlignment="1">
      <alignment vertical="center"/>
    </xf>
    <xf numFmtId="166" fontId="17" fillId="17" borderId="5" xfId="1" applyNumberFormat="1" applyFont="1" applyFill="1" applyBorder="1" applyAlignment="1">
      <alignment horizontal="center" vertical="center"/>
    </xf>
    <xf numFmtId="166" fontId="17" fillId="6" borderId="13" xfId="1" applyNumberFormat="1" applyFont="1" applyFill="1" applyBorder="1" applyAlignment="1">
      <alignment vertical="center"/>
    </xf>
    <xf numFmtId="166" fontId="17" fillId="6" borderId="14" xfId="1" applyNumberFormat="1" applyFont="1" applyFill="1" applyBorder="1" applyAlignment="1">
      <alignment vertical="center"/>
    </xf>
    <xf numFmtId="166" fontId="17" fillId="6" borderId="5" xfId="1" applyNumberFormat="1" applyFont="1" applyFill="1" applyBorder="1" applyAlignment="1">
      <alignment vertical="center"/>
    </xf>
    <xf numFmtId="43" fontId="0" fillId="0" borderId="0" xfId="0" applyNumberFormat="1"/>
    <xf numFmtId="0" fontId="0" fillId="0" borderId="0" xfId="0" applyFont="1"/>
    <xf numFmtId="0" fontId="0" fillId="0" borderId="1" xfId="0" applyFont="1" applyBorder="1" applyAlignment="1">
      <alignment horizontal="center"/>
    </xf>
    <xf numFmtId="0" fontId="0" fillId="0" borderId="1" xfId="0" applyFont="1" applyBorder="1"/>
    <xf numFmtId="164" fontId="16" fillId="0" borderId="1" xfId="1" applyNumberFormat="1" applyFont="1" applyBorder="1"/>
    <xf numFmtId="0" fontId="2" fillId="11" borderId="1" xfId="0" applyFont="1" applyFill="1" applyBorder="1" applyAlignment="1">
      <alignment horizontal="center" vertical="center"/>
    </xf>
    <xf numFmtId="164" fontId="16" fillId="0" borderId="0" xfId="1" applyNumberFormat="1" applyFont="1"/>
    <xf numFmtId="0" fontId="0" fillId="0" borderId="0" xfId="0" applyFont="1" applyAlignment="1">
      <alignment vertical="center"/>
    </xf>
    <xf numFmtId="0" fontId="8" fillId="5" borderId="1" xfId="0" applyFont="1" applyFill="1" applyBorder="1" applyAlignment="1">
      <alignment horizontal="center" vertical="center" wrapText="1"/>
    </xf>
    <xf numFmtId="3" fontId="33" fillId="4" borderId="1" xfId="0" applyNumberFormat="1" applyFont="1" applyFill="1" applyBorder="1" applyAlignment="1">
      <alignment vertical="center"/>
    </xf>
    <xf numFmtId="0" fontId="0" fillId="0" borderId="1" xfId="0" applyFill="1" applyBorder="1" applyAlignment="1">
      <alignment horizontal="left" wrapText="1"/>
    </xf>
    <xf numFmtId="3" fontId="33" fillId="4" borderId="1" xfId="0" applyNumberFormat="1" applyFont="1" applyFill="1" applyBorder="1" applyAlignment="1"/>
    <xf numFmtId="170" fontId="0" fillId="0" borderId="1" xfId="0" applyNumberFormat="1" applyFill="1" applyBorder="1" applyAlignment="1"/>
    <xf numFmtId="3" fontId="0" fillId="0" borderId="1" xfId="0" applyNumberFormat="1" applyFill="1" applyBorder="1" applyAlignment="1"/>
    <xf numFmtId="3" fontId="0" fillId="4" borderId="1" xfId="0" applyNumberFormat="1" applyFill="1" applyBorder="1" applyAlignment="1"/>
    <xf numFmtId="170" fontId="0" fillId="4" borderId="1" xfId="0" applyNumberFormat="1" applyFill="1" applyBorder="1" applyAlignment="1"/>
    <xf numFmtId="41" fontId="0" fillId="4" borderId="1" xfId="0" applyNumberFormat="1" applyFill="1" applyBorder="1" applyAlignment="1"/>
    <xf numFmtId="164" fontId="0" fillId="0" borderId="0" xfId="1" applyNumberFormat="1" applyFont="1"/>
    <xf numFmtId="49" fontId="9" fillId="4" borderId="1" xfId="3" applyNumberFormat="1" applyFont="1" applyFill="1" applyBorder="1" applyAlignment="1" applyProtection="1">
      <alignment horizontal="right" wrapText="1"/>
    </xf>
    <xf numFmtId="0" fontId="24" fillId="4" borderId="1" xfId="3" applyFont="1" applyFill="1" applyBorder="1" applyAlignment="1" applyProtection="1">
      <alignment vertical="top"/>
      <protection locked="0"/>
    </xf>
    <xf numFmtId="164" fontId="0" fillId="0" borderId="0" xfId="0" applyNumberFormat="1"/>
    <xf numFmtId="0" fontId="24" fillId="3" borderId="1" xfId="3" applyFont="1" applyFill="1" applyBorder="1" applyAlignment="1" applyProtection="1"/>
    <xf numFmtId="164" fontId="24" fillId="3" borderId="1" xfId="2" applyNumberFormat="1" applyFont="1" applyFill="1" applyBorder="1" applyAlignment="1" applyProtection="1"/>
    <xf numFmtId="164" fontId="16" fillId="4" borderId="1" xfId="1" applyNumberFormat="1" applyFont="1" applyFill="1" applyBorder="1" applyAlignment="1">
      <alignment vertical="center"/>
    </xf>
    <xf numFmtId="1" fontId="6" fillId="0" borderId="1" xfId="0" applyNumberFormat="1" applyFont="1" applyFill="1" applyBorder="1" applyAlignment="1">
      <alignment horizontal="right" vertical="center"/>
    </xf>
    <xf numFmtId="0" fontId="6" fillId="0" borderId="1" xfId="0" applyFont="1" applyFill="1" applyBorder="1" applyAlignment="1">
      <alignment horizontal="right" vertical="center" wrapText="1"/>
    </xf>
    <xf numFmtId="0" fontId="0" fillId="4" borderId="1" xfId="0" applyFill="1" applyBorder="1" applyAlignment="1">
      <alignment wrapText="1"/>
    </xf>
    <xf numFmtId="0" fontId="0" fillId="0" borderId="1" xfId="0" applyBorder="1" applyAlignment="1">
      <alignment horizontal="center" vertical="center"/>
    </xf>
    <xf numFmtId="0" fontId="0" fillId="4" borderId="1" xfId="0" applyFill="1" applyBorder="1" applyAlignment="1">
      <alignment vertical="center" wrapText="1"/>
    </xf>
    <xf numFmtId="0" fontId="22" fillId="0" borderId="9" xfId="3" applyFont="1" applyBorder="1" applyAlignment="1">
      <alignment horizontal="center" vertical="center" textRotation="180" wrapText="1"/>
    </xf>
    <xf numFmtId="0" fontId="22" fillId="0" borderId="1" xfId="3" applyFont="1" applyBorder="1" applyAlignment="1">
      <alignment horizontal="center" vertical="center" textRotation="180" wrapText="1"/>
    </xf>
    <xf numFmtId="0" fontId="22" fillId="0" borderId="10" xfId="3" applyFont="1" applyBorder="1" applyAlignment="1">
      <alignment horizontal="center" vertical="center" textRotation="180" wrapText="1"/>
    </xf>
    <xf numFmtId="0" fontId="50" fillId="0" borderId="9" xfId="3" applyNumberFormat="1" applyFont="1" applyBorder="1" applyAlignment="1">
      <alignment horizontal="center" vertical="center" wrapText="1"/>
    </xf>
    <xf numFmtId="0" fontId="51" fillId="0" borderId="1" xfId="3" applyFont="1" applyBorder="1" applyAlignment="1">
      <alignment horizontal="center" vertical="center" textRotation="180" wrapText="1"/>
    </xf>
    <xf numFmtId="14" fontId="51" fillId="0" borderId="1" xfId="3" applyNumberFormat="1" applyFont="1" applyBorder="1" applyAlignment="1">
      <alignment horizontal="center" vertical="center" textRotation="180" wrapText="1"/>
    </xf>
    <xf numFmtId="0" fontId="51" fillId="22" borderId="10" xfId="3" applyFont="1" applyFill="1" applyBorder="1" applyAlignment="1">
      <alignment horizontal="center" vertical="center" textRotation="180" wrapText="1"/>
    </xf>
    <xf numFmtId="0" fontId="51" fillId="9" borderId="1" xfId="3" applyFont="1" applyFill="1" applyBorder="1" applyAlignment="1">
      <alignment horizontal="center" vertical="center" textRotation="180" wrapText="1"/>
    </xf>
    <xf numFmtId="0" fontId="51" fillId="4" borderId="1" xfId="3" applyFont="1" applyFill="1" applyBorder="1" applyAlignment="1">
      <alignment horizontal="center" vertical="center" textRotation="180" wrapText="1"/>
    </xf>
    <xf numFmtId="14" fontId="51" fillId="9" borderId="1" xfId="3" applyNumberFormat="1" applyFont="1" applyFill="1" applyBorder="1" applyAlignment="1">
      <alignment horizontal="center" vertical="center" textRotation="180" wrapText="1"/>
    </xf>
    <xf numFmtId="164" fontId="21" fillId="0" borderId="1" xfId="1" applyNumberFormat="1" applyFont="1" applyBorder="1" applyAlignment="1">
      <alignment horizontal="center" vertical="center" textRotation="180" wrapText="1"/>
    </xf>
    <xf numFmtId="164" fontId="21" fillId="0" borderId="8" xfId="1" applyNumberFormat="1" applyFont="1" applyBorder="1" applyAlignment="1">
      <alignment horizontal="center" vertical="center" textRotation="180" wrapText="1"/>
    </xf>
    <xf numFmtId="0" fontId="52" fillId="4" borderId="5" xfId="0" applyFont="1" applyFill="1" applyBorder="1" applyAlignment="1">
      <alignment horizontal="right" vertical="center" wrapText="1"/>
    </xf>
    <xf numFmtId="0" fontId="52" fillId="4" borderId="1" xfId="0" applyFont="1" applyFill="1" applyBorder="1" applyAlignment="1">
      <alignment horizontal="right" vertical="center" wrapText="1"/>
    </xf>
    <xf numFmtId="165" fontId="0" fillId="0" borderId="1" xfId="2" applyNumberFormat="1" applyFont="1" applyBorder="1" applyAlignment="1">
      <alignment horizontal="right" vertical="center" wrapText="1"/>
    </xf>
    <xf numFmtId="0" fontId="12" fillId="23" borderId="19" xfId="0" applyFont="1" applyFill="1" applyBorder="1" applyAlignment="1">
      <alignment horizontal="center" vertical="center" wrapText="1"/>
    </xf>
    <xf numFmtId="0" fontId="12" fillId="23" borderId="19" xfId="0" applyFont="1" applyFill="1" applyBorder="1" applyAlignment="1">
      <alignment horizontal="center" vertical="center"/>
    </xf>
    <xf numFmtId="0" fontId="17" fillId="20" borderId="1" xfId="0" applyFont="1" applyFill="1" applyBorder="1" applyAlignment="1">
      <alignment horizontal="center" vertical="center" wrapText="1"/>
    </xf>
    <xf numFmtId="0" fontId="17" fillId="20" borderId="10" xfId="0" applyFont="1" applyFill="1" applyBorder="1" applyAlignment="1">
      <alignment horizontal="center" vertical="center" wrapText="1"/>
    </xf>
    <xf numFmtId="164" fontId="0" fillId="0" borderId="1" xfId="0" applyNumberFormat="1" applyBorder="1" applyAlignment="1">
      <alignment vertical="center" wrapText="1"/>
    </xf>
    <xf numFmtId="1" fontId="0" fillId="0" borderId="1" xfId="0" applyNumberFormat="1" applyBorder="1" applyAlignment="1">
      <alignment vertical="center" wrapText="1"/>
    </xf>
    <xf numFmtId="1" fontId="0" fillId="0" borderId="2" xfId="0" applyNumberFormat="1" applyBorder="1" applyAlignment="1">
      <alignment vertical="center" wrapText="1"/>
    </xf>
    <xf numFmtId="164" fontId="17" fillId="20" borderId="3" xfId="1"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12" fillId="8"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1" fillId="0" borderId="9" xfId="0" applyFont="1" applyBorder="1" applyAlignment="1">
      <alignment horizontal="center" vertical="center"/>
    </xf>
    <xf numFmtId="164" fontId="33" fillId="0" borderId="1" xfId="1" applyNumberFormat="1" applyFont="1" applyBorder="1" applyAlignment="1">
      <alignment vertical="center"/>
    </xf>
    <xf numFmtId="9" fontId="23" fillId="0" borderId="1" xfId="9" applyFont="1" applyBorder="1" applyAlignment="1">
      <alignment horizontal="center" vertical="center"/>
    </xf>
    <xf numFmtId="164" fontId="33" fillId="0" borderId="1" xfId="1" applyNumberFormat="1" applyFont="1" applyBorder="1" applyAlignment="1">
      <alignment vertical="center" wrapText="1"/>
    </xf>
    <xf numFmtId="164" fontId="33" fillId="0" borderId="10" xfId="1" applyNumberFormat="1" applyFont="1" applyBorder="1" applyAlignment="1">
      <alignment vertical="center" wrapText="1"/>
    </xf>
    <xf numFmtId="164" fontId="8" fillId="23" borderId="3" xfId="1" applyNumberFormat="1" applyFont="1" applyFill="1" applyBorder="1" applyAlignment="1">
      <alignment horizontal="center" vertical="center"/>
    </xf>
    <xf numFmtId="9" fontId="24" fillId="23" borderId="3" xfId="8" applyFont="1" applyFill="1" applyBorder="1" applyAlignment="1">
      <alignment horizontal="center" vertical="center"/>
    </xf>
    <xf numFmtId="164" fontId="8" fillId="23" borderId="4" xfId="1" applyNumberFormat="1"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4" borderId="1" xfId="0" applyFont="1" applyFill="1" applyBorder="1" applyAlignment="1">
      <alignment horizontal="center" vertical="center" wrapText="1"/>
    </xf>
    <xf numFmtId="3" fontId="9" fillId="4" borderId="1" xfId="3" applyNumberFormat="1" applyFill="1" applyBorder="1" applyAlignment="1">
      <alignment horizontal="right" vertical="center"/>
    </xf>
    <xf numFmtId="164" fontId="2" fillId="2" borderId="1" xfId="1" applyNumberFormat="1" applyFont="1" applyFill="1" applyBorder="1" applyAlignment="1">
      <alignment vertical="center"/>
    </xf>
    <xf numFmtId="1" fontId="0" fillId="0" borderId="1" xfId="0" applyNumberFormat="1" applyBorder="1" applyAlignment="1">
      <alignment vertical="center"/>
    </xf>
    <xf numFmtId="3" fontId="18" fillId="0" borderId="1" xfId="0" applyNumberFormat="1" applyFont="1" applyBorder="1" applyAlignment="1">
      <alignment horizontal="right" vertical="center"/>
    </xf>
    <xf numFmtId="164" fontId="18" fillId="24" borderId="1" xfId="1" applyNumberFormat="1" applyFont="1" applyFill="1" applyBorder="1" applyAlignment="1">
      <alignment horizontal="center" vertical="center"/>
    </xf>
    <xf numFmtId="3" fontId="18" fillId="0" borderId="1" xfId="0" applyNumberFormat="1" applyFont="1" applyBorder="1" applyAlignment="1">
      <alignment horizontal="center" vertical="center"/>
    </xf>
    <xf numFmtId="3" fontId="18" fillId="0" borderId="13" xfId="0" applyNumberFormat="1" applyFont="1" applyBorder="1" applyAlignment="1">
      <alignment horizontal="center" vertical="center"/>
    </xf>
    <xf numFmtId="164" fontId="17" fillId="2" borderId="1" xfId="1" applyNumberFormat="1" applyFont="1" applyFill="1" applyBorder="1" applyAlignment="1">
      <alignment vertical="center"/>
    </xf>
    <xf numFmtId="164" fontId="17" fillId="24" borderId="1" xfId="1" applyNumberFormat="1" applyFont="1" applyFill="1" applyBorder="1" applyAlignment="1">
      <alignment vertical="center"/>
    </xf>
    <xf numFmtId="164" fontId="17" fillId="24" borderId="1" xfId="0" applyNumberFormat="1" applyFont="1" applyFill="1" applyBorder="1" applyAlignment="1">
      <alignment vertical="center"/>
    </xf>
    <xf numFmtId="0" fontId="12" fillId="8" borderId="5" xfId="0" applyFont="1" applyFill="1" applyBorder="1" applyAlignment="1" applyProtection="1">
      <alignment horizontal="center" vertical="center"/>
    </xf>
    <xf numFmtId="0" fontId="12" fillId="8" borderId="1"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xf>
    <xf numFmtId="0" fontId="12" fillId="8" borderId="10" xfId="0" applyFont="1" applyFill="1" applyBorder="1" applyAlignment="1" applyProtection="1">
      <alignment horizontal="center" vertical="center"/>
    </xf>
    <xf numFmtId="1" fontId="11" fillId="0" borderId="3" xfId="0" applyNumberFormat="1" applyFont="1" applyFill="1" applyBorder="1" applyAlignment="1" applyProtection="1">
      <alignment horizontal="center" vertical="center"/>
      <protection locked="0"/>
    </xf>
    <xf numFmtId="1" fontId="11" fillId="0" borderId="3" xfId="0" applyNumberFormat="1" applyFont="1" applyFill="1" applyBorder="1" applyAlignment="1">
      <alignment horizontal="center" vertical="center"/>
    </xf>
    <xf numFmtId="1" fontId="11" fillId="0" borderId="4" xfId="0" applyNumberFormat="1" applyFont="1" applyFill="1" applyBorder="1" applyAlignment="1" applyProtection="1">
      <alignment horizontal="center" vertical="center"/>
    </xf>
    <xf numFmtId="0" fontId="0" fillId="24" borderId="0" xfId="0" applyFill="1" applyAlignment="1">
      <alignment vertical="center"/>
    </xf>
    <xf numFmtId="164" fontId="43" fillId="19" borderId="1" xfId="2" applyNumberFormat="1" applyFont="1" applyFill="1" applyBorder="1" applyAlignment="1" applyProtection="1">
      <alignment horizontal="right"/>
    </xf>
    <xf numFmtId="164" fontId="43" fillId="4" borderId="1" xfId="1" applyNumberFormat="1" applyFont="1" applyFill="1" applyBorder="1" applyAlignment="1" applyProtection="1">
      <alignment vertical="center"/>
    </xf>
    <xf numFmtId="164" fontId="43" fillId="4" borderId="1" xfId="3" applyNumberFormat="1" applyFont="1" applyFill="1" applyBorder="1" applyAlignment="1" applyProtection="1">
      <alignment horizontal="center" vertical="center"/>
    </xf>
    <xf numFmtId="164" fontId="19" fillId="4" borderId="1" xfId="1" applyNumberFormat="1" applyFont="1" applyFill="1" applyBorder="1" applyAlignment="1" applyProtection="1"/>
    <xf numFmtId="164" fontId="45" fillId="4" borderId="1" xfId="1" applyNumberFormat="1" applyFont="1" applyFill="1" applyBorder="1"/>
    <xf numFmtId="164" fontId="1" fillId="0" borderId="1" xfId="1" applyNumberFormat="1" applyFont="1" applyBorder="1" applyAlignment="1">
      <alignment horizontal="right" vertical="center"/>
    </xf>
    <xf numFmtId="164" fontId="43" fillId="3" borderId="1" xfId="2" applyNumberFormat="1" applyFont="1" applyFill="1" applyBorder="1" applyAlignment="1" applyProtection="1"/>
    <xf numFmtId="164" fontId="43" fillId="3" borderId="1" xfId="3" applyNumberFormat="1" applyFont="1" applyFill="1" applyBorder="1" applyAlignment="1" applyProtection="1">
      <alignment horizontal="center" vertical="center"/>
    </xf>
    <xf numFmtId="0" fontId="0" fillId="0" borderId="0" xfId="0" applyAlignment="1">
      <alignment horizontal="right"/>
    </xf>
    <xf numFmtId="0" fontId="0" fillId="0" borderId="1" xfId="0" applyBorder="1" applyAlignment="1">
      <alignment vertical="top" textRotation="90"/>
    </xf>
    <xf numFmtId="0" fontId="0" fillId="0" borderId="1" xfId="0" applyBorder="1" applyAlignment="1">
      <alignment horizontal="center" vertical="center" textRotation="90"/>
    </xf>
    <xf numFmtId="0" fontId="0" fillId="0" borderId="1" xfId="0" applyBorder="1" applyAlignment="1">
      <alignment vertical="top" textRotation="90" wrapText="1"/>
    </xf>
    <xf numFmtId="0" fontId="0" fillId="0" borderId="1" xfId="0" applyBorder="1" applyAlignment="1"/>
    <xf numFmtId="0" fontId="0" fillId="0" borderId="0"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right" vertical="center"/>
    </xf>
    <xf numFmtId="0" fontId="24" fillId="18" borderId="1" xfId="3" applyFont="1" applyFill="1" applyBorder="1" applyAlignment="1">
      <alignment horizontal="center"/>
    </xf>
    <xf numFmtId="164" fontId="24" fillId="18" borderId="1" xfId="3" applyNumberFormat="1" applyFont="1" applyFill="1" applyBorder="1" applyAlignment="1">
      <alignment horizontal="center"/>
    </xf>
    <xf numFmtId="0" fontId="23" fillId="0" borderId="1" xfId="3" applyFont="1" applyFill="1" applyBorder="1" applyAlignment="1">
      <alignment horizontal="center"/>
    </xf>
    <xf numFmtId="0" fontId="23" fillId="4" borderId="1" xfId="3" applyFont="1" applyFill="1" applyBorder="1" applyAlignment="1" applyProtection="1">
      <alignment horizontal="right" vertical="center" wrapText="1" readingOrder="2"/>
      <protection locked="0"/>
    </xf>
    <xf numFmtId="0" fontId="8" fillId="18" borderId="1" xfId="3" applyNumberFormat="1" applyFont="1" applyFill="1" applyBorder="1" applyAlignment="1" applyProtection="1">
      <alignment horizontal="center" vertical="center" wrapText="1"/>
    </xf>
    <xf numFmtId="0" fontId="23" fillId="0" borderId="1" xfId="3" applyFont="1" applyFill="1" applyBorder="1" applyAlignment="1" applyProtection="1">
      <alignment horizontal="center" vertical="center"/>
      <protection locked="0"/>
    </xf>
    <xf numFmtId="164" fontId="23" fillId="0" borderId="1" xfId="3" applyNumberFormat="1" applyFont="1" applyFill="1" applyBorder="1" applyAlignment="1" applyProtection="1">
      <alignment horizontal="center" vertical="center"/>
      <protection locked="0"/>
    </xf>
    <xf numFmtId="0" fontId="29" fillId="0" borderId="1" xfId="3" applyFont="1" applyFill="1" applyBorder="1" applyAlignment="1" applyProtection="1">
      <alignment horizontal="center"/>
      <protection locked="0"/>
    </xf>
    <xf numFmtId="0" fontId="27" fillId="0" borderId="1" xfId="3" applyFont="1" applyFill="1" applyBorder="1" applyAlignment="1" applyProtection="1">
      <alignment horizontal="center"/>
      <protection locked="0"/>
    </xf>
    <xf numFmtId="164" fontId="27" fillId="0" borderId="1" xfId="3" applyNumberFormat="1" applyFont="1" applyFill="1" applyBorder="1" applyAlignment="1" applyProtection="1">
      <alignment horizontal="center"/>
      <protection locked="0"/>
    </xf>
    <xf numFmtId="0" fontId="0" fillId="0" borderId="1" xfId="0" applyBorder="1"/>
    <xf numFmtId="0" fontId="0" fillId="0" borderId="0" xfId="0" applyFont="1" applyBorder="1" applyAlignment="1">
      <alignment horizontal="center" vertical="center"/>
    </xf>
    <xf numFmtId="0" fontId="0" fillId="0" borderId="1" xfId="0" applyBorder="1" applyAlignment="1">
      <alignment horizontal="right" vertical="center"/>
    </xf>
    <xf numFmtId="0" fontId="24" fillId="18" borderId="1" xfId="3" applyFont="1" applyFill="1" applyBorder="1" applyAlignment="1">
      <alignment horizontal="center"/>
    </xf>
    <xf numFmtId="164" fontId="24" fillId="18" borderId="1" xfId="3" applyNumberFormat="1" applyFont="1" applyFill="1" applyBorder="1" applyAlignment="1">
      <alignment horizontal="center"/>
    </xf>
    <xf numFmtId="0" fontId="23" fillId="0" borderId="1" xfId="3" applyFont="1" applyFill="1" applyBorder="1" applyAlignment="1">
      <alignment horizontal="center"/>
    </xf>
    <xf numFmtId="164" fontId="0" fillId="0" borderId="1" xfId="0" applyNumberFormat="1" applyBorder="1" applyAlignment="1"/>
    <xf numFmtId="164" fontId="0" fillId="0" borderId="1" xfId="0" applyNumberFormat="1" applyBorder="1"/>
    <xf numFmtId="164" fontId="16" fillId="4" borderId="1" xfId="1" applyNumberFormat="1" applyFont="1" applyFill="1" applyBorder="1"/>
    <xf numFmtId="164" fontId="21" fillId="0" borderId="8" xfId="1" applyNumberFormat="1" applyFont="1" applyBorder="1" applyAlignment="1">
      <alignment horizontal="center" vertical="center" textRotation="180" wrapText="1"/>
    </xf>
    <xf numFmtId="0" fontId="0" fillId="0" borderId="1" xfId="0" applyBorder="1" applyAlignment="1">
      <alignment horizontal="center" vertical="center"/>
    </xf>
    <xf numFmtId="0" fontId="0" fillId="0" borderId="1" xfId="0" applyBorder="1" applyAlignment="1">
      <alignment vertical="center"/>
    </xf>
    <xf numFmtId="0" fontId="12" fillId="8" borderId="1"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xf>
    <xf numFmtId="0" fontId="12" fillId="8" borderId="10" xfId="0" applyFont="1" applyFill="1" applyBorder="1" applyAlignment="1" applyProtection="1">
      <alignment horizontal="center" vertical="center"/>
    </xf>
    <xf numFmtId="3" fontId="18" fillId="0" borderId="1" xfId="0" applyNumberFormat="1" applyFont="1" applyBorder="1" applyAlignment="1">
      <alignment horizontal="right" vertical="center"/>
    </xf>
    <xf numFmtId="0" fontId="12" fillId="8" borderId="5" xfId="0" applyFont="1" applyFill="1" applyBorder="1" applyAlignment="1" applyProtection="1">
      <alignment horizontal="center" vertical="center"/>
    </xf>
    <xf numFmtId="0" fontId="17" fillId="2" borderId="1" xfId="0" applyFont="1" applyFill="1" applyBorder="1" applyAlignment="1">
      <alignment horizontal="center" vertical="center" wrapText="1"/>
    </xf>
    <xf numFmtId="0" fontId="12" fillId="23" borderId="19"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23" borderId="19" xfId="0" applyFont="1" applyFill="1" applyBorder="1" applyAlignment="1">
      <alignment horizontal="center" vertical="center"/>
    </xf>
    <xf numFmtId="0" fontId="44" fillId="0" borderId="0" xfId="3" applyFont="1" applyFill="1" applyBorder="1" applyAlignment="1" applyProtection="1">
      <alignment horizontal="center"/>
      <protection locked="0"/>
    </xf>
    <xf numFmtId="0" fontId="23" fillId="0" borderId="45" xfId="3" applyFont="1" applyFill="1" applyBorder="1" applyAlignment="1" applyProtection="1">
      <alignment vertical="center"/>
      <protection locked="0"/>
    </xf>
    <xf numFmtId="0" fontId="24" fillId="0" borderId="45" xfId="3" applyFont="1" applyFill="1" applyBorder="1" applyAlignment="1" applyProtection="1">
      <alignment horizontal="center"/>
      <protection locked="0"/>
    </xf>
    <xf numFmtId="0" fontId="23" fillId="0" borderId="45" xfId="3" applyFont="1" applyFill="1" applyBorder="1" applyAlignment="1" applyProtection="1">
      <alignment horizontal="right"/>
      <protection locked="0"/>
    </xf>
    <xf numFmtId="0" fontId="23" fillId="0" borderId="45" xfId="3" applyFont="1" applyFill="1" applyBorder="1" applyAlignment="1" applyProtection="1">
      <alignment horizontal="center"/>
      <protection locked="0"/>
    </xf>
    <xf numFmtId="167" fontId="40" fillId="0" borderId="45" xfId="3" applyNumberFormat="1" applyFont="1" applyBorder="1"/>
    <xf numFmtId="0" fontId="23" fillId="0" borderId="45" xfId="3" applyFont="1" applyFill="1" applyBorder="1" applyAlignment="1" applyProtection="1">
      <alignment horizontal="left"/>
      <protection locked="0"/>
    </xf>
    <xf numFmtId="0" fontId="23" fillId="0" borderId="45" xfId="3" applyFont="1" applyFill="1" applyBorder="1" applyAlignment="1" applyProtection="1">
      <protection locked="0"/>
    </xf>
    <xf numFmtId="0" fontId="23" fillId="0" borderId="45" xfId="3" applyFont="1" applyFill="1" applyBorder="1" applyAlignment="1" applyProtection="1">
      <alignment horizontal="center" vertical="center"/>
      <protection locked="0"/>
    </xf>
    <xf numFmtId="3" fontId="23" fillId="0" borderId="45" xfId="3" applyNumberFormat="1" applyFont="1" applyFill="1" applyBorder="1" applyAlignment="1" applyProtection="1"/>
    <xf numFmtId="3" fontId="23" fillId="0" borderId="45" xfId="3" applyNumberFormat="1" applyFont="1" applyFill="1" applyBorder="1" applyAlignment="1" applyProtection="1">
      <protection locked="0"/>
    </xf>
    <xf numFmtId="3" fontId="23" fillId="0" borderId="45" xfId="3" applyNumberFormat="1" applyFont="1" applyFill="1" applyBorder="1" applyAlignment="1" applyProtection="1">
      <alignment horizontal="center"/>
      <protection locked="0"/>
    </xf>
    <xf numFmtId="0" fontId="23" fillId="0" borderId="45" xfId="3" applyFont="1" applyFill="1" applyBorder="1" applyAlignment="1" applyProtection="1">
      <alignment horizontal="right" vertical="center"/>
      <protection locked="0"/>
    </xf>
    <xf numFmtId="0" fontId="24" fillId="18" borderId="45" xfId="3" applyFont="1" applyFill="1" applyBorder="1" applyAlignment="1" applyProtection="1">
      <alignment horizontal="center"/>
      <protection locked="0"/>
    </xf>
    <xf numFmtId="43" fontId="24" fillId="0" borderId="45" xfId="1" applyNumberFormat="1" applyFont="1" applyFill="1" applyBorder="1" applyAlignment="1" applyProtection="1">
      <alignment horizontal="right"/>
    </xf>
    <xf numFmtId="164" fontId="24" fillId="0" borderId="45" xfId="1" applyNumberFormat="1" applyFont="1" applyFill="1" applyBorder="1" applyAlignment="1" applyProtection="1">
      <alignment horizontal="right"/>
    </xf>
    <xf numFmtId="164" fontId="23" fillId="0" borderId="45" xfId="2" applyNumberFormat="1" applyFont="1" applyFill="1" applyBorder="1" applyAlignment="1" applyProtection="1">
      <alignment horizontal="right"/>
    </xf>
    <xf numFmtId="164" fontId="24" fillId="19" borderId="45" xfId="2" applyNumberFormat="1" applyFont="1" applyFill="1" applyBorder="1" applyAlignment="1" applyProtection="1">
      <alignment horizontal="right"/>
    </xf>
    <xf numFmtId="43" fontId="38" fillId="0" borderId="45" xfId="1" applyNumberFormat="1" applyFont="1" applyFill="1" applyBorder="1" applyAlignment="1" applyProtection="1">
      <alignment horizontal="right"/>
    </xf>
    <xf numFmtId="164" fontId="58" fillId="0" borderId="45" xfId="2" applyNumberFormat="1" applyFont="1" applyFill="1" applyBorder="1" applyAlignment="1" applyProtection="1">
      <alignment horizontal="right"/>
    </xf>
    <xf numFmtId="164" fontId="58" fillId="0" borderId="45" xfId="1" applyNumberFormat="1" applyFont="1" applyFill="1" applyBorder="1" applyAlignment="1" applyProtection="1">
      <alignment horizontal="right"/>
    </xf>
    <xf numFmtId="0" fontId="24" fillId="0" borderId="46" xfId="3" applyFont="1" applyFill="1" applyBorder="1" applyAlignment="1" applyProtection="1">
      <alignment horizontal="right"/>
    </xf>
    <xf numFmtId="0" fontId="24" fillId="0" borderId="48" xfId="3" applyFont="1" applyFill="1" applyBorder="1" applyAlignment="1" applyProtection="1">
      <alignment horizontal="right"/>
    </xf>
    <xf numFmtId="164" fontId="24" fillId="0" borderId="45" xfId="2" applyNumberFormat="1" applyFont="1" applyFill="1" applyBorder="1" applyAlignment="1" applyProtection="1">
      <alignment horizontal="right"/>
    </xf>
    <xf numFmtId="164" fontId="24" fillId="0" borderId="46" xfId="2" applyNumberFormat="1" applyFont="1" applyFill="1" applyBorder="1" applyAlignment="1" applyProtection="1">
      <alignment horizontal="right"/>
    </xf>
    <xf numFmtId="164" fontId="24" fillId="0" borderId="48" xfId="2" applyNumberFormat="1" applyFont="1" applyFill="1" applyBorder="1" applyAlignment="1" applyProtection="1">
      <alignment horizontal="right"/>
    </xf>
    <xf numFmtId="164" fontId="24" fillId="0" borderId="47" xfId="2" applyNumberFormat="1" applyFont="1" applyFill="1" applyBorder="1" applyAlignment="1" applyProtection="1">
      <alignment horizontal="right"/>
    </xf>
    <xf numFmtId="0" fontId="8" fillId="18" borderId="46" xfId="3" applyFont="1" applyFill="1" applyBorder="1" applyAlignment="1" applyProtection="1"/>
    <xf numFmtId="0" fontId="8" fillId="18" borderId="48" xfId="3" applyFont="1" applyFill="1" applyBorder="1" applyAlignment="1" applyProtection="1"/>
    <xf numFmtId="0" fontId="8" fillId="18" borderId="45" xfId="3" applyFont="1" applyFill="1" applyBorder="1" applyAlignment="1" applyProtection="1">
      <alignment horizontal="right" vertical="center" wrapText="1"/>
    </xf>
    <xf numFmtId="0" fontId="8" fillId="18" borderId="45" xfId="3" applyNumberFormat="1" applyFont="1" applyFill="1" applyBorder="1" applyAlignment="1" applyProtection="1">
      <alignment horizontal="center" vertical="center" wrapText="1"/>
    </xf>
    <xf numFmtId="49" fontId="9" fillId="0" borderId="45" xfId="3" applyNumberFormat="1" applyFont="1" applyBorder="1" applyAlignment="1" applyProtection="1">
      <alignment horizontal="right" wrapText="1"/>
    </xf>
    <xf numFmtId="164" fontId="9" fillId="0" borderId="45" xfId="2" applyNumberFormat="1" applyFont="1" applyFill="1" applyBorder="1" applyAlignment="1" applyProtection="1"/>
    <xf numFmtId="164" fontId="8" fillId="18" borderId="45" xfId="3" applyNumberFormat="1" applyFont="1" applyFill="1" applyBorder="1" applyAlignment="1" applyProtection="1">
      <alignment horizontal="center"/>
    </xf>
    <xf numFmtId="0" fontId="9" fillId="0" borderId="45" xfId="6" applyFont="1" applyBorder="1" applyAlignment="1" applyProtection="1">
      <alignment horizontal="right"/>
    </xf>
    <xf numFmtId="0" fontId="40" fillId="0" borderId="45" xfId="6" applyFont="1" applyBorder="1" applyAlignment="1" applyProtection="1">
      <alignment horizontal="right"/>
    </xf>
    <xf numFmtId="164" fontId="9" fillId="0" borderId="51" xfId="2" applyNumberFormat="1" applyFont="1" applyFill="1" applyBorder="1" applyAlignment="1" applyProtection="1"/>
    <xf numFmtId="0" fontId="9" fillId="0" borderId="0" xfId="0" applyFont="1"/>
    <xf numFmtId="0" fontId="8" fillId="19" borderId="45" xfId="3" applyFont="1" applyFill="1" applyBorder="1" applyAlignment="1" applyProtection="1"/>
    <xf numFmtId="164" fontId="8" fillId="19" borderId="45" xfId="2" applyNumberFormat="1" applyFont="1" applyFill="1" applyBorder="1" applyAlignment="1" applyProtection="1"/>
    <xf numFmtId="0" fontId="24" fillId="18" borderId="45" xfId="3" applyFont="1" applyFill="1" applyBorder="1" applyAlignment="1" applyProtection="1">
      <alignment horizontal="center" vertical="top"/>
      <protection locked="0"/>
    </xf>
    <xf numFmtId="0" fontId="24" fillId="18" borderId="45" xfId="3" applyFont="1" applyFill="1" applyBorder="1" applyAlignment="1" applyProtection="1">
      <alignment vertical="top"/>
      <protection locked="0"/>
    </xf>
    <xf numFmtId="0" fontId="24" fillId="4" borderId="46" xfId="3" applyFont="1" applyFill="1" applyBorder="1" applyAlignment="1" applyProtection="1">
      <alignment horizontal="center" vertical="top"/>
      <protection locked="0"/>
    </xf>
    <xf numFmtId="0" fontId="24" fillId="4" borderId="48" xfId="3" applyFont="1" applyFill="1" applyBorder="1" applyAlignment="1" applyProtection="1">
      <alignment horizontal="center" vertical="top"/>
      <protection locked="0"/>
    </xf>
    <xf numFmtId="0" fontId="24" fillId="4" borderId="47" xfId="3" applyFont="1" applyFill="1" applyBorder="1" applyAlignment="1" applyProtection="1">
      <alignment horizontal="center" vertical="top"/>
      <protection locked="0"/>
    </xf>
    <xf numFmtId="0" fontId="24" fillId="4" borderId="45" xfId="3" applyFont="1" applyFill="1" applyBorder="1" applyAlignment="1" applyProtection="1">
      <alignment vertical="top"/>
      <protection locked="0"/>
    </xf>
    <xf numFmtId="0" fontId="23" fillId="4" borderId="46" xfId="3" applyFont="1" applyFill="1" applyBorder="1" applyAlignment="1" applyProtection="1">
      <alignment horizontal="right" vertical="top" readingOrder="2"/>
      <protection locked="0"/>
    </xf>
    <xf numFmtId="0" fontId="23" fillId="4" borderId="48" xfId="3" applyFont="1" applyFill="1" applyBorder="1" applyAlignment="1" applyProtection="1">
      <alignment horizontal="right" vertical="top"/>
      <protection locked="0"/>
    </xf>
    <xf numFmtId="0" fontId="23" fillId="4" borderId="47" xfId="3" applyFont="1" applyFill="1" applyBorder="1" applyAlignment="1" applyProtection="1">
      <alignment horizontal="right" vertical="top"/>
      <protection locked="0"/>
    </xf>
    <xf numFmtId="0" fontId="23" fillId="0" borderId="46" xfId="3" applyFont="1" applyFill="1" applyBorder="1" applyAlignment="1" applyProtection="1">
      <alignment vertical="center" wrapText="1"/>
      <protection locked="0"/>
    </xf>
    <xf numFmtId="0" fontId="23" fillId="0" borderId="48" xfId="3" applyFont="1" applyFill="1" applyBorder="1" applyAlignment="1" applyProtection="1">
      <alignment vertical="center" wrapText="1"/>
      <protection locked="0"/>
    </xf>
    <xf numFmtId="0" fontId="23" fillId="0" borderId="47" xfId="3" applyFont="1" applyFill="1" applyBorder="1" applyAlignment="1" applyProtection="1">
      <alignment vertical="center" wrapText="1"/>
      <protection locked="0"/>
    </xf>
    <xf numFmtId="9" fontId="23" fillId="0" borderId="45" xfId="3" applyNumberFormat="1" applyFont="1" applyFill="1" applyBorder="1" applyAlignment="1" applyProtection="1">
      <alignment horizontal="center" vertical="top"/>
      <protection locked="0"/>
    </xf>
    <xf numFmtId="0" fontId="23" fillId="0" borderId="46" xfId="3" applyFont="1" applyFill="1" applyBorder="1" applyAlignment="1" applyProtection="1">
      <alignment horizontal="right" vertical="center" readingOrder="2"/>
      <protection locked="0"/>
    </xf>
    <xf numFmtId="0" fontId="23" fillId="0" borderId="48" xfId="3" applyFont="1" applyFill="1" applyBorder="1" applyAlignment="1" applyProtection="1">
      <alignment horizontal="right" vertical="center" readingOrder="2"/>
      <protection locked="0"/>
    </xf>
    <xf numFmtId="0" fontId="23" fillId="0" borderId="47" xfId="3" applyFont="1" applyFill="1" applyBorder="1" applyAlignment="1" applyProtection="1">
      <alignment horizontal="right" vertical="center" readingOrder="2"/>
      <protection locked="0"/>
    </xf>
    <xf numFmtId="0" fontId="24" fillId="18" borderId="45" xfId="3" applyFont="1" applyFill="1" applyBorder="1" applyAlignment="1" applyProtection="1">
      <alignment horizontal="right" vertical="center"/>
      <protection locked="0"/>
    </xf>
    <xf numFmtId="49" fontId="23" fillId="0" borderId="47" xfId="3" applyNumberFormat="1" applyFont="1" applyFill="1" applyBorder="1" applyAlignment="1">
      <alignment horizontal="right" vertical="center" wrapText="1" readingOrder="2"/>
    </xf>
    <xf numFmtId="49" fontId="23" fillId="0" borderId="46" xfId="3" applyNumberFormat="1" applyFont="1" applyFill="1" applyBorder="1" applyAlignment="1">
      <alignment horizontal="right" vertical="center" wrapText="1" readingOrder="2"/>
    </xf>
    <xf numFmtId="49" fontId="23" fillId="0" borderId="48" xfId="3" applyNumberFormat="1" applyFont="1" applyFill="1" applyBorder="1" applyAlignment="1">
      <alignment horizontal="right" vertical="center" wrapText="1" readingOrder="2"/>
    </xf>
    <xf numFmtId="49" fontId="23" fillId="0" borderId="45" xfId="3" applyNumberFormat="1" applyFont="1" applyFill="1" applyBorder="1" applyAlignment="1">
      <alignment horizontal="right" vertical="center" readingOrder="2"/>
    </xf>
    <xf numFmtId="49" fontId="23" fillId="0" borderId="45" xfId="3" applyNumberFormat="1" applyFont="1" applyFill="1" applyBorder="1" applyAlignment="1">
      <alignment horizontal="right" readingOrder="2"/>
    </xf>
    <xf numFmtId="0" fontId="9" fillId="0" borderId="52" xfId="3" applyFont="1" applyFill="1" applyBorder="1" applyAlignment="1" applyProtection="1">
      <alignment horizontal="right" vertical="top" wrapText="1"/>
      <protection locked="0"/>
    </xf>
    <xf numFmtId="0" fontId="9" fillId="0" borderId="53" xfId="3" applyFont="1" applyFill="1" applyBorder="1" applyAlignment="1" applyProtection="1">
      <alignment horizontal="right" vertical="top" wrapText="1"/>
      <protection locked="0"/>
    </xf>
    <xf numFmtId="0" fontId="9" fillId="0" borderId="54" xfId="3" applyFont="1" applyFill="1" applyBorder="1" applyAlignment="1" applyProtection="1">
      <alignment horizontal="right" vertical="top" wrapText="1"/>
      <protection locked="0"/>
    </xf>
    <xf numFmtId="0" fontId="24" fillId="18" borderId="45" xfId="3" applyFont="1" applyFill="1" applyBorder="1" applyAlignment="1">
      <alignment horizontal="right"/>
    </xf>
    <xf numFmtId="0" fontId="24" fillId="18" borderId="45" xfId="3" applyFont="1" applyFill="1" applyBorder="1" applyAlignment="1">
      <alignment horizontal="center"/>
    </xf>
    <xf numFmtId="14" fontId="23" fillId="0" borderId="45" xfId="3" applyNumberFormat="1" applyFont="1" applyFill="1" applyBorder="1" applyAlignment="1">
      <alignment horizontal="center"/>
    </xf>
    <xf numFmtId="0" fontId="23" fillId="0" borderId="45" xfId="3" applyFont="1" applyFill="1" applyBorder="1"/>
    <xf numFmtId="0" fontId="53" fillId="0" borderId="3" xfId="0" applyFont="1" applyBorder="1" applyAlignment="1">
      <alignment wrapText="1"/>
    </xf>
    <xf numFmtId="0" fontId="44" fillId="0" borderId="0" xfId="3" applyFont="1" applyFill="1" applyBorder="1" applyAlignment="1" applyProtection="1">
      <alignment horizontal="center"/>
      <protection locked="0"/>
    </xf>
    <xf numFmtId="0" fontId="24" fillId="18" borderId="45" xfId="3" applyFont="1" applyFill="1" applyBorder="1" applyAlignment="1" applyProtection="1">
      <alignment horizontal="right" vertical="center"/>
      <protection locked="0"/>
    </xf>
    <xf numFmtId="0" fontId="23" fillId="0" borderId="45" xfId="3" applyFont="1" applyFill="1" applyBorder="1" applyAlignment="1" applyProtection="1">
      <alignment horizontal="center" vertical="center"/>
      <protection locked="0"/>
    </xf>
    <xf numFmtId="0" fontId="23" fillId="0" borderId="45" xfId="3" applyFont="1" applyFill="1" applyBorder="1" applyAlignment="1" applyProtection="1">
      <alignment horizontal="center"/>
      <protection locked="0"/>
    </xf>
    <xf numFmtId="0" fontId="23" fillId="0" borderId="45" xfId="3" applyFont="1" applyFill="1" applyBorder="1" applyAlignment="1" applyProtection="1">
      <alignment horizontal="right"/>
      <protection locked="0"/>
    </xf>
    <xf numFmtId="0" fontId="24" fillId="0" borderId="45" xfId="3" applyFont="1" applyFill="1" applyBorder="1" applyAlignment="1" applyProtection="1">
      <alignment horizontal="center"/>
      <protection locked="0"/>
    </xf>
    <xf numFmtId="0" fontId="23" fillId="0" borderId="45" xfId="3" applyFont="1" applyFill="1" applyBorder="1" applyAlignment="1" applyProtection="1">
      <alignment horizontal="right" vertical="center"/>
      <protection locked="0"/>
    </xf>
    <xf numFmtId="3" fontId="23" fillId="0" borderId="45" xfId="3" applyNumberFormat="1" applyFont="1" applyFill="1" applyBorder="1" applyAlignment="1" applyProtection="1">
      <alignment horizontal="center"/>
      <protection locked="0"/>
    </xf>
    <xf numFmtId="0" fontId="8" fillId="18" borderId="45" xfId="3" applyNumberFormat="1" applyFont="1" applyFill="1" applyBorder="1" applyAlignment="1" applyProtection="1">
      <alignment horizontal="center" vertical="center" wrapText="1"/>
    </xf>
    <xf numFmtId="0" fontId="24" fillId="18" borderId="45" xfId="3" applyFont="1" applyFill="1" applyBorder="1" applyAlignment="1" applyProtection="1">
      <alignment horizontal="center" vertical="top"/>
      <protection locked="0"/>
    </xf>
    <xf numFmtId="0" fontId="23" fillId="4" borderId="48" xfId="3" applyFont="1" applyFill="1" applyBorder="1" applyAlignment="1" applyProtection="1">
      <alignment horizontal="right" vertical="top"/>
      <protection locked="0"/>
    </xf>
    <xf numFmtId="0" fontId="23" fillId="4" borderId="47" xfId="3" applyFont="1" applyFill="1" applyBorder="1" applyAlignment="1" applyProtection="1">
      <alignment horizontal="right" vertical="top"/>
      <protection locked="0"/>
    </xf>
    <xf numFmtId="0" fontId="23" fillId="4" borderId="46" xfId="3" applyFont="1" applyFill="1" applyBorder="1" applyAlignment="1" applyProtection="1">
      <alignment horizontal="right" vertical="top" readingOrder="2"/>
      <protection locked="0"/>
    </xf>
    <xf numFmtId="0" fontId="24" fillId="18" borderId="45" xfId="3" applyFont="1" applyFill="1" applyBorder="1" applyAlignment="1">
      <alignment horizontal="center"/>
    </xf>
    <xf numFmtId="0" fontId="46" fillId="0" borderId="2" xfId="0" applyFont="1" applyBorder="1" applyAlignment="1">
      <alignment vertical="center" wrapText="1" readingOrder="2"/>
    </xf>
    <xf numFmtId="0" fontId="46" fillId="0" borderId="1" xfId="0" applyFont="1" applyBorder="1" applyAlignment="1">
      <alignment horizontal="center" vertical="center" wrapText="1" readingOrder="2"/>
    </xf>
    <xf numFmtId="0" fontId="51" fillId="4" borderId="10" xfId="3" applyFont="1" applyFill="1" applyBorder="1" applyAlignment="1">
      <alignment horizontal="center" vertical="center" textRotation="180" wrapText="1"/>
    </xf>
    <xf numFmtId="14" fontId="51" fillId="4" borderId="1" xfId="3" applyNumberFormat="1" applyFont="1" applyFill="1" applyBorder="1" applyAlignment="1">
      <alignment horizontal="center" vertical="center" textRotation="180" wrapText="1"/>
    </xf>
    <xf numFmtId="0" fontId="0" fillId="4" borderId="0" xfId="0" applyFont="1" applyFill="1" applyAlignment="1">
      <alignment vertical="center"/>
    </xf>
    <xf numFmtId="164" fontId="12" fillId="4" borderId="1" xfId="1" applyNumberFormat="1" applyFont="1" applyFill="1" applyBorder="1" applyAlignment="1" applyProtection="1"/>
    <xf numFmtId="164" fontId="12" fillId="4" borderId="1" xfId="3" applyNumberFormat="1" applyFont="1" applyFill="1" applyBorder="1" applyAlignment="1" applyProtection="1">
      <alignment horizontal="center" vertical="center"/>
    </xf>
    <xf numFmtId="0" fontId="0" fillId="3" borderId="0" xfId="0" applyFill="1"/>
    <xf numFmtId="164" fontId="12" fillId="4" borderId="1" xfId="2" applyNumberFormat="1" applyFont="1" applyFill="1" applyBorder="1" applyAlignment="1" applyProtection="1"/>
    <xf numFmtId="0" fontId="12" fillId="4" borderId="1" xfId="3" applyFont="1" applyFill="1" applyBorder="1" applyAlignment="1" applyProtection="1">
      <alignment vertical="top"/>
      <protection locked="0"/>
    </xf>
    <xf numFmtId="0" fontId="0" fillId="0" borderId="0" xfId="0" applyFont="1" applyBorder="1" applyAlignment="1">
      <alignment horizontal="center"/>
    </xf>
    <xf numFmtId="0" fontId="16" fillId="0" borderId="0" xfId="0" applyFont="1" applyBorder="1" applyAlignment="1"/>
    <xf numFmtId="164" fontId="16" fillId="0" borderId="0" xfId="1" applyNumberFormat="1" applyFont="1" applyBorder="1"/>
    <xf numFmtId="0" fontId="13" fillId="0" borderId="0" xfId="0" applyFont="1" applyBorder="1"/>
    <xf numFmtId="0" fontId="0" fillId="0" borderId="0" xfId="0" applyFont="1" applyBorder="1" applyAlignment="1">
      <alignment horizontal="center" wrapText="1"/>
    </xf>
    <xf numFmtId="0" fontId="16" fillId="0" borderId="0" xfId="0" applyFont="1" applyBorder="1" applyAlignment="1">
      <alignment horizontal="center" wrapText="1"/>
    </xf>
    <xf numFmtId="0" fontId="16" fillId="0" borderId="0" xfId="0" applyFont="1" applyBorder="1"/>
    <xf numFmtId="0" fontId="13" fillId="0" borderId="0" xfId="0" applyFont="1" applyBorder="1" applyAlignment="1">
      <alignment vertical="center"/>
    </xf>
    <xf numFmtId="0" fontId="33" fillId="0" borderId="0" xfId="0" applyFont="1" applyFill="1" applyBorder="1" applyAlignment="1">
      <alignment horizontal="right"/>
    </xf>
    <xf numFmtId="164" fontId="2" fillId="4" borderId="1" xfId="1" applyNumberFormat="1" applyFont="1" applyFill="1" applyBorder="1" applyAlignment="1">
      <alignment horizontal="center" vertical="center"/>
    </xf>
    <xf numFmtId="0" fontId="12" fillId="4" borderId="1" xfId="3" applyFont="1" applyFill="1" applyBorder="1" applyAlignment="1" applyProtection="1"/>
    <xf numFmtId="0" fontId="16" fillId="0" borderId="0" xfId="0" applyFont="1" applyAlignment="1">
      <alignment vertical="center"/>
    </xf>
    <xf numFmtId="3" fontId="16" fillId="4" borderId="1" xfId="0" applyNumberFormat="1" applyFont="1" applyFill="1" applyBorder="1" applyAlignment="1">
      <alignment vertical="center"/>
    </xf>
    <xf numFmtId="170" fontId="16" fillId="4" borderId="1" xfId="0" applyNumberFormat="1" applyFont="1" applyFill="1" applyBorder="1" applyAlignment="1">
      <alignment vertical="center"/>
    </xf>
    <xf numFmtId="41" fontId="16" fillId="4" borderId="1" xfId="0" applyNumberFormat="1" applyFont="1" applyFill="1" applyBorder="1" applyAlignment="1">
      <alignment vertical="center"/>
    </xf>
    <xf numFmtId="164" fontId="5" fillId="4" borderId="1" xfId="1" applyNumberFormat="1" applyFont="1" applyFill="1" applyBorder="1" applyAlignment="1">
      <alignment horizontal="center" vertical="center" wrapText="1" readingOrder="1"/>
    </xf>
    <xf numFmtId="0" fontId="13" fillId="0" borderId="0" xfId="0" applyFont="1" applyBorder="1" applyAlignment="1">
      <alignment horizontal="center"/>
    </xf>
    <xf numFmtId="0" fontId="16" fillId="0" borderId="0" xfId="0" applyFont="1" applyBorder="1" applyAlignment="1">
      <alignment horizontal="center"/>
    </xf>
    <xf numFmtId="0" fontId="43" fillId="0" borderId="0" xfId="0" applyFont="1" applyFill="1" applyBorder="1" applyAlignment="1">
      <alignment horizontal="center"/>
    </xf>
    <xf numFmtId="164" fontId="16" fillId="0" borderId="0" xfId="1" applyNumberFormat="1" applyFont="1" applyBorder="1" applyAlignment="1">
      <alignment horizontal="center"/>
    </xf>
    <xf numFmtId="0" fontId="16" fillId="0" borderId="0" xfId="0" applyFont="1" applyBorder="1" applyAlignment="1">
      <alignment horizontal="right"/>
    </xf>
    <xf numFmtId="164" fontId="13" fillId="4" borderId="1" xfId="1" applyNumberFormat="1" applyFont="1" applyFill="1" applyBorder="1" applyAlignment="1">
      <alignment horizontal="center" vertical="center"/>
    </xf>
    <xf numFmtId="164" fontId="21" fillId="9" borderId="2" xfId="1" applyNumberFormat="1" applyFont="1" applyFill="1" applyBorder="1" applyAlignment="1">
      <alignment vertical="center" textRotation="180" wrapText="1"/>
    </xf>
    <xf numFmtId="164" fontId="21" fillId="9" borderId="1" xfId="1" applyNumberFormat="1" applyFont="1" applyFill="1" applyBorder="1" applyAlignment="1">
      <alignment horizontal="center" vertical="center" textRotation="180" wrapText="1"/>
    </xf>
    <xf numFmtId="164" fontId="21" fillId="9" borderId="8" xfId="1" applyNumberFormat="1" applyFont="1" applyFill="1" applyBorder="1" applyAlignment="1">
      <alignment horizontal="center" vertical="center" textRotation="180" wrapText="1"/>
    </xf>
    <xf numFmtId="165" fontId="0" fillId="9" borderId="13" xfId="2" applyNumberFormat="1" applyFont="1" applyFill="1" applyBorder="1" applyAlignment="1">
      <alignment vertical="center" wrapText="1"/>
    </xf>
    <xf numFmtId="165" fontId="0" fillId="9" borderId="5" xfId="2" applyNumberFormat="1" applyFont="1" applyFill="1" applyBorder="1" applyAlignment="1">
      <alignment vertical="center" wrapText="1"/>
    </xf>
    <xf numFmtId="0" fontId="46" fillId="9" borderId="1" xfId="0" applyFont="1" applyFill="1" applyBorder="1" applyAlignment="1">
      <alignment vertical="center" wrapText="1" readingOrder="2"/>
    </xf>
    <xf numFmtId="0" fontId="6" fillId="9" borderId="1" xfId="0" applyFont="1" applyFill="1" applyBorder="1" applyAlignment="1">
      <alignment vertical="center"/>
    </xf>
    <xf numFmtId="0" fontId="52" fillId="9" borderId="1" xfId="0" applyFont="1" applyFill="1" applyBorder="1" applyAlignment="1">
      <alignment vertical="center"/>
    </xf>
    <xf numFmtId="165" fontId="0" fillId="9" borderId="1" xfId="2" applyNumberFormat="1" applyFont="1" applyFill="1" applyBorder="1" applyAlignment="1">
      <alignment vertical="center" wrapText="1"/>
    </xf>
    <xf numFmtId="0" fontId="6" fillId="9" borderId="1" xfId="0" applyFont="1" applyFill="1" applyBorder="1" applyAlignment="1">
      <alignment vertical="center" wrapText="1"/>
    </xf>
    <xf numFmtId="0" fontId="52" fillId="9" borderId="1" xfId="0" applyFont="1" applyFill="1" applyBorder="1" applyAlignment="1">
      <alignment vertical="center" wrapText="1"/>
    </xf>
    <xf numFmtId="0" fontId="2" fillId="11" borderId="1" xfId="0" applyFont="1" applyFill="1" applyBorder="1" applyAlignment="1">
      <alignment horizontal="center" vertical="center" wrapText="1"/>
    </xf>
    <xf numFmtId="164" fontId="2" fillId="11" borderId="1" xfId="1" applyNumberFormat="1" applyFont="1" applyFill="1" applyBorder="1" applyAlignment="1">
      <alignment horizontal="center" vertical="center"/>
    </xf>
    <xf numFmtId="164" fontId="13" fillId="11" borderId="1" xfId="1" applyNumberFormat="1" applyFont="1" applyFill="1" applyBorder="1" applyAlignment="1">
      <alignment horizontal="center" vertical="center"/>
    </xf>
    <xf numFmtId="0" fontId="33" fillId="0" borderId="0" xfId="0" applyFont="1" applyFill="1" applyBorder="1" applyAlignment="1">
      <alignment horizontal="right" vertical="center"/>
    </xf>
    <xf numFmtId="0" fontId="0" fillId="4" borderId="1" xfId="0" applyFont="1" applyFill="1" applyBorder="1"/>
    <xf numFmtId="164" fontId="16" fillId="4" borderId="1" xfId="1" applyNumberFormat="1" applyFont="1" applyFill="1" applyBorder="1" applyAlignment="1"/>
    <xf numFmtId="0" fontId="0" fillId="4" borderId="0" xfId="0" applyFont="1" applyFill="1"/>
    <xf numFmtId="164" fontId="0" fillId="4" borderId="1" xfId="1" applyNumberFormat="1" applyFont="1" applyFill="1" applyBorder="1"/>
    <xf numFmtId="0" fontId="2" fillId="4" borderId="1" xfId="0" applyFont="1" applyFill="1" applyBorder="1" applyAlignment="1">
      <alignment horizontal="center" vertical="center"/>
    </xf>
    <xf numFmtId="0" fontId="0" fillId="4" borderId="1" xfId="0" applyFont="1" applyFill="1" applyBorder="1" applyAlignment="1">
      <alignment horizontal="center"/>
    </xf>
    <xf numFmtId="0" fontId="2" fillId="4" borderId="1" xfId="0" applyFont="1" applyFill="1" applyBorder="1" applyAlignment="1">
      <alignment wrapText="1"/>
    </xf>
    <xf numFmtId="164" fontId="2" fillId="4" borderId="13" xfId="1" applyNumberFormat="1" applyFont="1" applyFill="1" applyBorder="1" applyAlignment="1">
      <alignment vertical="center"/>
    </xf>
    <xf numFmtId="0" fontId="0" fillId="4" borderId="1" xfId="0" applyFont="1" applyFill="1" applyBorder="1" applyAlignment="1">
      <alignment horizontal="left" vertical="center" wrapText="1"/>
    </xf>
    <xf numFmtId="164" fontId="16" fillId="4" borderId="0" xfId="1" applyNumberFormat="1" applyFont="1" applyFill="1"/>
    <xf numFmtId="0" fontId="16" fillId="4" borderId="0" xfId="0" applyFont="1" applyFill="1" applyAlignment="1">
      <alignment vertical="center"/>
    </xf>
    <xf numFmtId="0" fontId="0" fillId="4" borderId="13" xfId="0" applyFont="1" applyFill="1" applyBorder="1" applyAlignment="1">
      <alignment horizontal="left" vertical="center" wrapText="1"/>
    </xf>
    <xf numFmtId="3" fontId="19" fillId="4" borderId="1" xfId="0" applyNumberFormat="1" applyFont="1" applyFill="1" applyBorder="1" applyAlignment="1">
      <alignment vertical="center"/>
    </xf>
    <xf numFmtId="0" fontId="33" fillId="4" borderId="0" xfId="0" applyFont="1" applyFill="1" applyBorder="1" applyAlignment="1">
      <alignment horizontal="right" vertical="center"/>
    </xf>
    <xf numFmtId="0" fontId="16" fillId="4" borderId="0" xfId="0" applyFont="1" applyFill="1"/>
    <xf numFmtId="3" fontId="0" fillId="0" borderId="6" xfId="0" applyNumberFormat="1" applyFill="1" applyBorder="1" applyAlignment="1"/>
    <xf numFmtId="3" fontId="0" fillId="0" borderId="0" xfId="0" applyNumberFormat="1"/>
    <xf numFmtId="0" fontId="2" fillId="0" borderId="0" xfId="0" applyFont="1"/>
    <xf numFmtId="165" fontId="9" fillId="4" borderId="1" xfId="1" applyNumberFormat="1" applyFont="1" applyFill="1" applyBorder="1" applyAlignment="1">
      <alignment horizontal="center" vertical="center" wrapText="1"/>
    </xf>
    <xf numFmtId="164" fontId="0" fillId="0" borderId="0" xfId="0" applyNumberFormat="1" applyFont="1"/>
    <xf numFmtId="0" fontId="16" fillId="0" borderId="0" xfId="0" applyNumberFormat="1" applyFont="1" applyBorder="1" applyAlignment="1"/>
    <xf numFmtId="0" fontId="16" fillId="0" borderId="0" xfId="1" applyNumberFormat="1" applyFont="1"/>
    <xf numFmtId="0" fontId="2" fillId="4" borderId="1" xfId="0" applyFont="1" applyFill="1" applyBorder="1" applyAlignment="1">
      <alignment horizontal="center" vertical="center" wrapText="1"/>
    </xf>
    <xf numFmtId="0" fontId="0" fillId="4" borderId="1" xfId="0" applyFont="1" applyFill="1" applyBorder="1" applyAlignment="1">
      <alignment wrapText="1"/>
    </xf>
    <xf numFmtId="164" fontId="0" fillId="4" borderId="1" xfId="0" applyNumberFormat="1" applyFont="1" applyFill="1" applyBorder="1"/>
    <xf numFmtId="0" fontId="33" fillId="4" borderId="0" xfId="0" applyFont="1" applyFill="1" applyBorder="1" applyAlignment="1">
      <alignment horizontal="right"/>
    </xf>
    <xf numFmtId="0" fontId="0" fillId="0" borderId="1" xfId="0" applyBorder="1"/>
    <xf numFmtId="0" fontId="0" fillId="0" borderId="1" xfId="0" applyBorder="1" applyAlignment="1">
      <alignment horizontal="center"/>
    </xf>
    <xf numFmtId="0" fontId="0" fillId="0" borderId="0" xfId="0"/>
    <xf numFmtId="0" fontId="4" fillId="0" borderId="9" xfId="0" applyFont="1" applyBorder="1" applyAlignment="1">
      <alignment vertical="center" wrapText="1" readingOrder="2"/>
    </xf>
    <xf numFmtId="0" fontId="0" fillId="0" borderId="1" xfId="0" applyBorder="1" applyAlignment="1">
      <alignment vertical="center" wrapText="1"/>
    </xf>
    <xf numFmtId="0" fontId="18" fillId="0" borderId="1" xfId="0" applyFont="1" applyFill="1" applyBorder="1" applyAlignment="1">
      <alignment wrapText="1"/>
    </xf>
    <xf numFmtId="0" fontId="2" fillId="11" borderId="1" xfId="0" applyFont="1" applyFill="1" applyBorder="1"/>
    <xf numFmtId="0" fontId="0" fillId="4" borderId="1" xfId="0" applyFill="1" applyBorder="1" applyAlignment="1">
      <alignment horizontal="center"/>
    </xf>
    <xf numFmtId="0" fontId="16" fillId="0" borderId="1" xfId="0" applyFont="1" applyBorder="1" applyAlignment="1">
      <alignment horizontal="center"/>
    </xf>
    <xf numFmtId="0" fontId="16" fillId="0" borderId="1" xfId="0" applyFont="1" applyFill="1" applyBorder="1" applyAlignment="1">
      <alignment horizontal="center"/>
    </xf>
    <xf numFmtId="165" fontId="9" fillId="0" borderId="1" xfId="1" applyNumberFormat="1" applyFont="1" applyFill="1" applyBorder="1" applyAlignment="1">
      <alignment horizontal="center" vertical="center" wrapText="1"/>
    </xf>
    <xf numFmtId="164" fontId="16" fillId="0" borderId="1" xfId="1" applyNumberFormat="1" applyFont="1" applyFill="1" applyBorder="1"/>
    <xf numFmtId="0" fontId="16" fillId="0" borderId="1" xfId="0" applyFont="1" applyFill="1" applyBorder="1" applyAlignment="1">
      <alignment horizontal="center" vertical="center"/>
    </xf>
    <xf numFmtId="0" fontId="16" fillId="0" borderId="0" xfId="0" applyFont="1" applyFill="1" applyBorder="1" applyAlignment="1">
      <alignment horizontal="center"/>
    </xf>
    <xf numFmtId="165" fontId="15" fillId="0" borderId="0" xfId="1" applyNumberFormat="1" applyFont="1" applyFill="1" applyBorder="1" applyAlignment="1">
      <alignment horizontal="center" vertical="center" wrapText="1"/>
    </xf>
    <xf numFmtId="165" fontId="61" fillId="0" borderId="0" xfId="1" applyNumberFormat="1" applyFont="1" applyFill="1" applyBorder="1" applyAlignment="1">
      <alignment horizontal="center" vertical="center" wrapText="1"/>
    </xf>
    <xf numFmtId="165" fontId="9" fillId="0" borderId="0" xfId="1" applyNumberFormat="1" applyFont="1" applyFill="1" applyBorder="1" applyAlignment="1">
      <alignment horizontal="center" vertical="center" wrapText="1"/>
    </xf>
    <xf numFmtId="164" fontId="16" fillId="0" borderId="0" xfId="1" applyNumberFormat="1" applyFont="1" applyFill="1" applyBorder="1"/>
    <xf numFmtId="164" fontId="0" fillId="0" borderId="0" xfId="0" applyNumberFormat="1" applyFont="1" applyBorder="1" applyAlignment="1">
      <alignment horizontal="center"/>
    </xf>
    <xf numFmtId="164" fontId="2" fillId="6" borderId="1" xfId="1" applyNumberFormat="1" applyFont="1" applyFill="1" applyBorder="1" applyAlignment="1">
      <alignment horizontal="center" vertical="center"/>
    </xf>
    <xf numFmtId="164" fontId="60" fillId="6" borderId="1" xfId="1" applyNumberFormat="1" applyFont="1" applyFill="1" applyBorder="1"/>
    <xf numFmtId="164" fontId="16" fillId="6" borderId="1" xfId="1" applyNumberFormat="1" applyFont="1" applyFill="1" applyBorder="1"/>
    <xf numFmtId="165" fontId="15" fillId="0" borderId="1" xfId="1" applyNumberFormat="1" applyFont="1" applyFill="1" applyBorder="1" applyAlignment="1">
      <alignment horizontal="right" vertical="center" wrapText="1"/>
    </xf>
    <xf numFmtId="165" fontId="15" fillId="0" borderId="1" xfId="1" applyNumberFormat="1" applyFont="1" applyFill="1" applyBorder="1" applyAlignment="1">
      <alignment horizontal="center" vertical="center" wrapText="1"/>
    </xf>
    <xf numFmtId="0" fontId="43"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3" fontId="43" fillId="6" borderId="1" xfId="0" applyNumberFormat="1" applyFont="1" applyFill="1" applyBorder="1" applyAlignment="1">
      <alignment vertical="center"/>
    </xf>
    <xf numFmtId="164" fontId="59" fillId="6" borderId="1" xfId="1" applyNumberFormat="1" applyFont="1" applyFill="1" applyBorder="1"/>
    <xf numFmtId="0" fontId="69" fillId="0" borderId="1" xfId="0" applyFont="1" applyBorder="1"/>
    <xf numFmtId="0" fontId="70" fillId="0" borderId="1" xfId="0" applyFont="1" applyBorder="1"/>
    <xf numFmtId="0" fontId="70" fillId="0" borderId="1" xfId="0" applyFont="1" applyBorder="1" applyAlignment="1">
      <alignment horizontal="center"/>
    </xf>
    <xf numFmtId="3" fontId="43" fillId="20" borderId="1" xfId="0" applyNumberFormat="1" applyFont="1" applyFill="1" applyBorder="1" applyAlignment="1">
      <alignment vertical="center"/>
    </xf>
    <xf numFmtId="170" fontId="0" fillId="4" borderId="1" xfId="0" applyNumberFormat="1" applyFill="1" applyBorder="1" applyAlignment="1">
      <alignment vertical="center"/>
    </xf>
    <xf numFmtId="3" fontId="0" fillId="4" borderId="1" xfId="0" applyNumberFormat="1" applyFill="1" applyBorder="1" applyAlignment="1">
      <alignment vertical="center"/>
    </xf>
    <xf numFmtId="41" fontId="0" fillId="4" borderId="1" xfId="0" applyNumberFormat="1" applyFill="1" applyBorder="1" applyAlignment="1">
      <alignment vertical="center"/>
    </xf>
    <xf numFmtId="170" fontId="0" fillId="0" borderId="1" xfId="0" applyNumberFormat="1" applyFill="1" applyBorder="1" applyAlignment="1">
      <alignment vertical="center"/>
    </xf>
    <xf numFmtId="3" fontId="0" fillId="0" borderId="1" xfId="0" applyNumberFormat="1" applyFill="1" applyBorder="1" applyAlignment="1">
      <alignment vertical="center"/>
    </xf>
    <xf numFmtId="0" fontId="0" fillId="0" borderId="1" xfId="0" applyFill="1" applyBorder="1" applyAlignment="1">
      <alignment horizontal="left" vertical="center" wrapText="1"/>
    </xf>
    <xf numFmtId="43" fontId="0" fillId="0" borderId="1" xfId="1" applyFont="1" applyFill="1" applyBorder="1" applyAlignment="1"/>
    <xf numFmtId="43" fontId="0" fillId="4" borderId="1" xfId="1" applyFont="1" applyFill="1" applyBorder="1" applyAlignment="1"/>
    <xf numFmtId="43" fontId="43" fillId="20" borderId="1" xfId="1" applyFont="1" applyFill="1" applyBorder="1" applyAlignment="1">
      <alignment vertical="center"/>
    </xf>
    <xf numFmtId="43" fontId="0" fillId="6" borderId="1" xfId="1" applyFont="1" applyFill="1" applyBorder="1" applyAlignment="1"/>
    <xf numFmtId="43" fontId="43" fillId="6" borderId="1" xfId="1" applyFont="1" applyFill="1" applyBorder="1" applyAlignment="1">
      <alignment vertical="center"/>
    </xf>
    <xf numFmtId="43" fontId="0" fillId="4" borderId="1" xfId="1" applyFont="1" applyFill="1" applyBorder="1" applyAlignment="1">
      <alignment vertical="center"/>
    </xf>
    <xf numFmtId="164" fontId="1" fillId="4" borderId="1" xfId="1" applyNumberFormat="1" applyFont="1" applyFill="1" applyBorder="1"/>
    <xf numFmtId="0" fontId="2" fillId="6" borderId="1" xfId="0" applyFont="1" applyFill="1" applyBorder="1" applyAlignment="1">
      <alignment horizontal="center"/>
    </xf>
    <xf numFmtId="0" fontId="3" fillId="6" borderId="1" xfId="0" applyFont="1" applyFill="1" applyBorder="1" applyAlignment="1">
      <alignment wrapText="1"/>
    </xf>
    <xf numFmtId="0" fontId="2" fillId="11" borderId="1" xfId="0" applyFont="1" applyFill="1" applyBorder="1" applyAlignment="1">
      <alignment horizontal="center"/>
    </xf>
    <xf numFmtId="0" fontId="2" fillId="11" borderId="1" xfId="0" applyFont="1" applyFill="1" applyBorder="1" applyAlignment="1">
      <alignment wrapText="1"/>
    </xf>
    <xf numFmtId="164" fontId="1" fillId="0" borderId="1" xfId="1" applyNumberFormat="1" applyFont="1" applyBorder="1"/>
    <xf numFmtId="164" fontId="0" fillId="6" borderId="1" xfId="1" applyNumberFormat="1" applyFont="1" applyFill="1" applyBorder="1"/>
    <xf numFmtId="164" fontId="1" fillId="6" borderId="1" xfId="1" applyNumberFormat="1" applyFont="1" applyFill="1" applyBorder="1"/>
    <xf numFmtId="43" fontId="0" fillId="0" borderId="1" xfId="1" applyFont="1" applyBorder="1"/>
    <xf numFmtId="43" fontId="0" fillId="6" borderId="1" xfId="1" applyFont="1" applyFill="1" applyBorder="1"/>
    <xf numFmtId="164" fontId="2" fillId="6" borderId="1" xfId="1" applyNumberFormat="1" applyFont="1" applyFill="1" applyBorder="1"/>
    <xf numFmtId="164" fontId="10" fillId="4" borderId="1" xfId="1" applyNumberFormat="1" applyFont="1" applyFill="1" applyBorder="1"/>
    <xf numFmtId="164" fontId="3" fillId="6" borderId="1" xfId="1" applyNumberFormat="1" applyFont="1" applyFill="1" applyBorder="1"/>
    <xf numFmtId="164" fontId="0" fillId="0" borderId="1" xfId="1" applyNumberFormat="1" applyFont="1" applyFill="1" applyBorder="1"/>
    <xf numFmtId="164" fontId="13" fillId="6" borderId="1" xfId="1" applyNumberFormat="1" applyFont="1" applyFill="1" applyBorder="1" applyAlignment="1">
      <alignment vertical="center"/>
    </xf>
    <xf numFmtId="0" fontId="0" fillId="0" borderId="1" xfId="0" applyFont="1" applyBorder="1" applyAlignment="1">
      <alignment horizontal="center" vertical="center" wrapText="1"/>
    </xf>
    <xf numFmtId="0" fontId="23" fillId="0" borderId="1" xfId="3" applyFont="1" applyFill="1" applyBorder="1" applyAlignment="1">
      <alignment wrapText="1"/>
    </xf>
    <xf numFmtId="0" fontId="24" fillId="18" borderId="1" xfId="3" applyFont="1" applyFill="1" applyBorder="1" applyAlignment="1">
      <alignment horizontal="center" wrapText="1"/>
    </xf>
    <xf numFmtId="164" fontId="2" fillId="18" borderId="2" xfId="0" applyNumberFormat="1" applyFont="1" applyFill="1" applyBorder="1" applyAlignment="1">
      <alignment horizontal="center" vertical="center"/>
    </xf>
    <xf numFmtId="164" fontId="2" fillId="18" borderId="2" xfId="0" applyNumberFormat="1" applyFont="1" applyFill="1" applyBorder="1" applyAlignment="1">
      <alignment horizontal="center"/>
    </xf>
    <xf numFmtId="0" fontId="2" fillId="18" borderId="2" xfId="0" applyFont="1" applyFill="1" applyBorder="1" applyAlignment="1">
      <alignment horizontal="center"/>
    </xf>
    <xf numFmtId="164" fontId="18" fillId="4" borderId="0" xfId="0" applyNumberFormat="1" applyFont="1" applyFill="1" applyBorder="1" applyAlignment="1">
      <alignment horizontal="center" vertical="center"/>
    </xf>
    <xf numFmtId="164" fontId="18" fillId="4" borderId="0" xfId="0" applyNumberFormat="1" applyFont="1" applyFill="1" applyBorder="1" applyAlignment="1">
      <alignment horizontal="center"/>
    </xf>
    <xf numFmtId="0" fontId="18" fillId="4" borderId="0" xfId="0" applyFont="1" applyFill="1" applyBorder="1" applyAlignment="1">
      <alignment horizontal="center"/>
    </xf>
    <xf numFmtId="164" fontId="18" fillId="0" borderId="0" xfId="0" applyNumberFormat="1" applyFont="1" applyBorder="1" applyAlignment="1">
      <alignment vertical="center"/>
    </xf>
    <xf numFmtId="0" fontId="18" fillId="7" borderId="6" xfId="0" applyFont="1" applyFill="1" applyBorder="1" applyAlignment="1">
      <alignment vertical="center"/>
    </xf>
    <xf numFmtId="0" fontId="18" fillId="7" borderId="24" xfId="0" applyFont="1" applyFill="1" applyBorder="1" applyAlignment="1">
      <alignment vertical="center"/>
    </xf>
    <xf numFmtId="0" fontId="18" fillId="7" borderId="0" xfId="0" applyFont="1" applyFill="1" applyBorder="1" applyAlignment="1">
      <alignment vertical="center"/>
    </xf>
    <xf numFmtId="0" fontId="18" fillId="7" borderId="0" xfId="0" applyFont="1" applyFill="1" applyBorder="1"/>
    <xf numFmtId="0" fontId="18" fillId="0" borderId="0" xfId="0" applyFont="1" applyBorder="1"/>
    <xf numFmtId="0" fontId="12" fillId="4" borderId="1" xfId="3" applyFont="1" applyFill="1" applyBorder="1" applyAlignment="1" applyProtection="1">
      <alignment horizontal="center"/>
    </xf>
    <xf numFmtId="0" fontId="12" fillId="4" borderId="1" xfId="3" applyFont="1" applyFill="1" applyBorder="1" applyAlignment="1" applyProtection="1">
      <alignment horizontal="right" vertical="center" wrapText="1"/>
    </xf>
    <xf numFmtId="164" fontId="12" fillId="4" borderId="1" xfId="3" applyNumberFormat="1" applyFont="1" applyFill="1" applyBorder="1" applyAlignment="1" applyProtection="1">
      <alignment horizontal="center" vertical="center" wrapText="1"/>
    </xf>
    <xf numFmtId="0" fontId="11" fillId="4" borderId="1" xfId="3" applyFont="1" applyFill="1" applyBorder="1" applyAlignment="1" applyProtection="1">
      <alignment horizontal="center" vertical="top"/>
      <protection locked="0"/>
    </xf>
    <xf numFmtId="0" fontId="62" fillId="0" borderId="1" xfId="0" applyFont="1" applyFill="1" applyBorder="1" applyAlignment="1">
      <alignment horizontal="center" vertical="center"/>
    </xf>
    <xf numFmtId="1" fontId="0" fillId="4" borderId="1" xfId="0" applyNumberFormat="1" applyFont="1" applyFill="1" applyBorder="1" applyAlignment="1">
      <alignment horizontal="center" vertical="center"/>
    </xf>
    <xf numFmtId="164" fontId="0" fillId="4" borderId="1" xfId="1" applyNumberFormat="1" applyFont="1" applyFill="1" applyBorder="1" applyAlignment="1">
      <alignment horizontal="center" vertical="center"/>
    </xf>
    <xf numFmtId="0" fontId="80" fillId="0" borderId="1" xfId="0" applyFont="1" applyBorder="1" applyAlignment="1">
      <alignment horizontal="center" vertical="center" wrapText="1" readingOrder="2"/>
    </xf>
    <xf numFmtId="0" fontId="79" fillId="15" borderId="1" xfId="0" applyFont="1" applyFill="1" applyBorder="1" applyAlignment="1">
      <alignment horizontal="right" vertical="center" wrapText="1" readingOrder="2"/>
    </xf>
    <xf numFmtId="0" fontId="80" fillId="0" borderId="1" xfId="0" applyFont="1" applyBorder="1" applyAlignment="1">
      <alignment horizontal="right" vertical="center" wrapText="1" readingOrder="2"/>
    </xf>
    <xf numFmtId="0" fontId="80" fillId="0" borderId="1" xfId="0" applyFont="1" applyFill="1" applyBorder="1" applyAlignment="1">
      <alignment horizontal="right" vertical="center" wrapText="1" readingOrder="2"/>
    </xf>
    <xf numFmtId="0" fontId="79" fillId="4" borderId="1" xfId="0" applyFont="1" applyFill="1" applyBorder="1" applyAlignment="1">
      <alignment horizontal="center" vertical="center"/>
    </xf>
    <xf numFmtId="0" fontId="82" fillId="4" borderId="1" xfId="0" applyFont="1" applyFill="1" applyBorder="1" applyAlignment="1">
      <alignment horizontal="center" vertical="center"/>
    </xf>
    <xf numFmtId="0" fontId="82" fillId="0" borderId="1" xfId="0" applyFont="1" applyFill="1" applyBorder="1" applyAlignment="1">
      <alignment horizontal="center" vertical="center"/>
    </xf>
    <xf numFmtId="0" fontId="82" fillId="0" borderId="2" xfId="0" applyFont="1" applyFill="1" applyBorder="1" applyAlignment="1">
      <alignment horizontal="center" vertical="center"/>
    </xf>
    <xf numFmtId="164" fontId="79" fillId="4" borderId="0" xfId="0" applyNumberFormat="1" applyFont="1" applyFill="1" applyBorder="1" applyAlignment="1">
      <alignment horizontal="right" vertical="center"/>
    </xf>
    <xf numFmtId="164" fontId="80" fillId="4" borderId="0" xfId="1" applyNumberFormat="1" applyFont="1" applyFill="1" applyBorder="1" applyAlignment="1">
      <alignment vertical="center"/>
    </xf>
    <xf numFmtId="0" fontId="79" fillId="4" borderId="0" xfId="0" applyFont="1" applyFill="1" applyBorder="1" applyAlignment="1">
      <alignment horizontal="right" vertical="center"/>
    </xf>
    <xf numFmtId="164" fontId="80" fillId="4" borderId="0" xfId="1" applyNumberFormat="1" applyFont="1" applyFill="1" applyBorder="1" applyAlignment="1">
      <alignment horizontal="right" vertical="center"/>
    </xf>
    <xf numFmtId="164" fontId="80" fillId="0" borderId="0" xfId="1" applyNumberFormat="1" applyFont="1" applyBorder="1" applyAlignment="1">
      <alignment horizontal="right" vertical="center"/>
    </xf>
    <xf numFmtId="0" fontId="83" fillId="5" borderId="1" xfId="0" applyFont="1" applyFill="1" applyBorder="1" applyAlignment="1">
      <alignment horizontal="right" vertical="center" wrapText="1" readingOrder="2"/>
    </xf>
    <xf numFmtId="0" fontId="66" fillId="4" borderId="1" xfId="0" applyFont="1" applyFill="1" applyBorder="1" applyAlignment="1">
      <alignment horizontal="center" vertical="center" wrapText="1"/>
    </xf>
    <xf numFmtId="0" fontId="65" fillId="4" borderId="1" xfId="0" applyFont="1" applyFill="1" applyBorder="1" applyAlignment="1">
      <alignment vertical="center" wrapText="1"/>
    </xf>
    <xf numFmtId="0" fontId="65" fillId="4" borderId="1" xfId="0" applyFont="1" applyFill="1" applyBorder="1" applyAlignment="1">
      <alignment horizontal="center" vertical="center"/>
    </xf>
    <xf numFmtId="0" fontId="12" fillId="26" borderId="1" xfId="6" applyFont="1" applyFill="1" applyBorder="1" applyAlignment="1" applyProtection="1">
      <alignment horizontal="right"/>
    </xf>
    <xf numFmtId="2" fontId="71" fillId="4"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1" fontId="77" fillId="4" borderId="1" xfId="0" applyNumberFormat="1" applyFont="1" applyFill="1" applyBorder="1" applyAlignment="1">
      <alignment horizontal="center" vertical="center" wrapText="1"/>
    </xf>
    <xf numFmtId="0" fontId="10" fillId="4" borderId="1" xfId="0" applyFont="1" applyFill="1" applyBorder="1" applyAlignment="1">
      <alignment vertical="center"/>
    </xf>
    <xf numFmtId="2" fontId="10" fillId="4" borderId="1" xfId="0" applyNumberFormat="1" applyFont="1" applyFill="1" applyBorder="1" applyAlignment="1">
      <alignment horizontal="center" vertical="center"/>
    </xf>
    <xf numFmtId="0" fontId="10" fillId="4" borderId="1" xfId="0" applyFont="1" applyFill="1" applyBorder="1" applyAlignment="1">
      <alignment vertical="center" wrapText="1"/>
    </xf>
    <xf numFmtId="2" fontId="10" fillId="4" borderId="1" xfId="0" applyNumberFormat="1" applyFont="1" applyFill="1" applyBorder="1" applyAlignment="1">
      <alignment horizontal="center" vertical="center" readingOrder="2"/>
    </xf>
    <xf numFmtId="2" fontId="10" fillId="4" borderId="1" xfId="0" applyNumberFormat="1" applyFont="1" applyFill="1" applyBorder="1" applyAlignment="1">
      <alignment vertical="center"/>
    </xf>
    <xf numFmtId="2" fontId="10" fillId="4" borderId="1" xfId="0" applyNumberFormat="1" applyFont="1" applyFill="1" applyBorder="1"/>
    <xf numFmtId="2" fontId="10" fillId="0" borderId="1" xfId="0" applyNumberFormat="1" applyFont="1" applyFill="1" applyBorder="1" applyAlignment="1">
      <alignment horizontal="center" vertical="center"/>
    </xf>
    <xf numFmtId="2" fontId="10" fillId="4" borderId="1" xfId="0" applyNumberFormat="1" applyFont="1" applyFill="1" applyBorder="1" applyAlignment="1">
      <alignment horizontal="center" vertical="center" wrapText="1"/>
    </xf>
    <xf numFmtId="0" fontId="10" fillId="0" borderId="1" xfId="0" applyFont="1" applyFill="1" applyBorder="1" applyAlignment="1">
      <alignment vertical="center"/>
    </xf>
    <xf numFmtId="0" fontId="10" fillId="4" borderId="1" xfId="0" applyFont="1" applyFill="1" applyBorder="1" applyAlignment="1">
      <alignment horizontal="center" vertical="center" wrapText="1"/>
    </xf>
    <xf numFmtId="0" fontId="25" fillId="7" borderId="1" xfId="0" applyFont="1" applyFill="1" applyBorder="1" applyAlignment="1">
      <alignment horizontal="center"/>
    </xf>
    <xf numFmtId="0" fontId="7" fillId="4" borderId="1" xfId="0" applyFont="1" applyFill="1" applyBorder="1" applyAlignment="1">
      <alignment horizontal="center"/>
    </xf>
    <xf numFmtId="0" fontId="78" fillId="4" borderId="1" xfId="0" applyFont="1" applyFill="1" applyBorder="1" applyAlignment="1">
      <alignment horizontal="center"/>
    </xf>
    <xf numFmtId="1" fontId="0" fillId="4" borderId="1" xfId="0" applyNumberFormat="1" applyFill="1" applyBorder="1" applyAlignment="1">
      <alignment vertical="center"/>
    </xf>
    <xf numFmtId="0" fontId="6" fillId="0" borderId="1" xfId="0" applyFont="1" applyFill="1" applyBorder="1" applyAlignment="1">
      <alignment horizontal="center"/>
    </xf>
    <xf numFmtId="1" fontId="6" fillId="0" borderId="1" xfId="0" applyNumberFormat="1" applyFont="1" applyFill="1" applyBorder="1" applyAlignment="1">
      <alignment horizontal="right"/>
    </xf>
    <xf numFmtId="0" fontId="86" fillId="4" borderId="1" xfId="0" applyFont="1" applyFill="1" applyBorder="1" applyAlignment="1">
      <alignment vertical="center"/>
    </xf>
    <xf numFmtId="0" fontId="52" fillId="4" borderId="1" xfId="0" applyFont="1" applyFill="1" applyBorder="1" applyAlignment="1">
      <alignment vertical="center"/>
    </xf>
    <xf numFmtId="2" fontId="0" fillId="4" borderId="1" xfId="0" applyNumberFormat="1" applyFont="1" applyFill="1" applyBorder="1" applyAlignment="1">
      <alignment horizontal="center" vertical="center"/>
    </xf>
    <xf numFmtId="0" fontId="0" fillId="4" borderId="1" xfId="1" applyNumberFormat="1" applyFont="1" applyFill="1" applyBorder="1" applyAlignment="1">
      <alignment horizontal="center" vertical="center"/>
    </xf>
    <xf numFmtId="0" fontId="2" fillId="4" borderId="1" xfId="1" applyNumberFormat="1" applyFont="1" applyFill="1" applyBorder="1" applyAlignment="1">
      <alignment horizontal="center" vertical="center"/>
    </xf>
    <xf numFmtId="1" fontId="2" fillId="4" borderId="1" xfId="1"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0" fillId="4" borderId="1" xfId="1" applyNumberFormat="1" applyFont="1" applyFill="1" applyBorder="1" applyAlignment="1">
      <alignment horizontal="center" vertical="center"/>
    </xf>
    <xf numFmtId="1" fontId="16" fillId="4" borderId="1" xfId="1" applyNumberFormat="1" applyFont="1" applyFill="1" applyBorder="1" applyAlignment="1">
      <alignment horizontal="center" vertical="center"/>
    </xf>
    <xf numFmtId="172" fontId="0" fillId="4"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164" fontId="0" fillId="4" borderId="1" xfId="1" applyNumberFormat="1" applyFont="1" applyFill="1" applyBorder="1" applyAlignment="1">
      <alignment vertical="center"/>
    </xf>
    <xf numFmtId="0" fontId="0" fillId="4" borderId="8" xfId="0" applyFont="1" applyFill="1" applyBorder="1" applyAlignment="1">
      <alignment horizontal="center" vertical="center"/>
    </xf>
    <xf numFmtId="164" fontId="0" fillId="4" borderId="8" xfId="1" applyNumberFormat="1" applyFont="1" applyFill="1" applyBorder="1" applyAlignment="1">
      <alignment horizontal="center" vertical="center"/>
    </xf>
    <xf numFmtId="164" fontId="0" fillId="4" borderId="5" xfId="1" applyNumberFormat="1" applyFont="1" applyFill="1" applyBorder="1" applyAlignment="1">
      <alignment vertical="center"/>
    </xf>
    <xf numFmtId="0" fontId="18" fillId="4" borderId="1" xfId="0" applyFont="1" applyFill="1" applyBorder="1" applyAlignment="1">
      <alignment horizontal="center" vertical="center"/>
    </xf>
    <xf numFmtId="0" fontId="0" fillId="4" borderId="12" xfId="0" applyFont="1" applyFill="1" applyBorder="1" applyAlignment="1">
      <alignment horizontal="center" vertical="center"/>
    </xf>
    <xf numFmtId="164" fontId="0" fillId="4" borderId="2" xfId="1" applyNumberFormat="1" applyFont="1" applyFill="1" applyBorder="1" applyAlignment="1">
      <alignment horizontal="center" vertical="center"/>
    </xf>
    <xf numFmtId="1" fontId="0" fillId="4" borderId="2" xfId="0" applyNumberFormat="1" applyFont="1" applyFill="1" applyBorder="1" applyAlignment="1">
      <alignment horizontal="center" vertical="center"/>
    </xf>
    <xf numFmtId="172" fontId="0" fillId="4" borderId="2" xfId="0" applyNumberFormat="1" applyFont="1" applyFill="1" applyBorder="1" applyAlignment="1">
      <alignment horizontal="center" vertical="center"/>
    </xf>
    <xf numFmtId="164" fontId="3" fillId="4" borderId="1" xfId="1" applyNumberFormat="1" applyFont="1" applyFill="1" applyBorder="1" applyAlignment="1">
      <alignment vertical="center"/>
    </xf>
    <xf numFmtId="2" fontId="17" fillId="4" borderId="1" xfId="0" applyNumberFormat="1" applyFont="1" applyFill="1" applyBorder="1" applyAlignment="1">
      <alignment horizontal="center" vertical="center"/>
    </xf>
    <xf numFmtId="1" fontId="17" fillId="4" borderId="1" xfId="1" applyNumberFormat="1" applyFont="1" applyFill="1" applyBorder="1" applyAlignment="1">
      <alignment horizontal="center" vertical="center"/>
    </xf>
    <xf numFmtId="164" fontId="0" fillId="4" borderId="8" xfId="1" applyNumberFormat="1" applyFont="1" applyFill="1" applyBorder="1" applyAlignment="1">
      <alignment vertical="center"/>
    </xf>
    <xf numFmtId="164" fontId="18" fillId="4" borderId="5" xfId="1" applyNumberFormat="1" applyFont="1" applyFill="1" applyBorder="1" applyAlignment="1">
      <alignment vertical="center"/>
    </xf>
    <xf numFmtId="0" fontId="62" fillId="4" borderId="1" xfId="0" applyFont="1" applyFill="1" applyBorder="1" applyAlignment="1">
      <alignment horizontal="center" vertical="center"/>
    </xf>
    <xf numFmtId="0" fontId="72" fillId="4" borderId="1" xfId="0" applyFont="1" applyFill="1" applyBorder="1" applyAlignment="1">
      <alignment horizontal="center" vertical="center" wrapText="1"/>
    </xf>
    <xf numFmtId="0" fontId="0" fillId="0" borderId="1" xfId="0" applyBorder="1"/>
    <xf numFmtId="0" fontId="80" fillId="0" borderId="0" xfId="0" applyFont="1" applyBorder="1" applyAlignment="1">
      <alignment horizontal="center" vertical="center"/>
    </xf>
    <xf numFmtId="2" fontId="2" fillId="4" borderId="1" xfId="0" applyNumberFormat="1" applyFont="1" applyFill="1" applyBorder="1" applyAlignment="1">
      <alignment horizontal="center" vertical="center"/>
    </xf>
    <xf numFmtId="0" fontId="79" fillId="21" borderId="0" xfId="0" applyFont="1" applyFill="1" applyBorder="1" applyAlignment="1">
      <alignment horizontal="center" vertical="center"/>
    </xf>
    <xf numFmtId="0" fontId="80" fillId="0" borderId="2" xfId="0" applyFont="1" applyBorder="1" applyAlignment="1">
      <alignment horizontal="center" vertical="center" wrapText="1" readingOrder="2"/>
    </xf>
    <xf numFmtId="0" fontId="80" fillId="0" borderId="8" xfId="0" applyFont="1" applyBorder="1" applyAlignment="1">
      <alignment horizontal="center" vertical="center" wrapText="1" readingOrder="2"/>
    </xf>
    <xf numFmtId="0" fontId="2" fillId="4" borderId="1" xfId="0" applyFont="1" applyFill="1" applyBorder="1" applyAlignment="1">
      <alignment horizontal="center" vertical="center"/>
    </xf>
    <xf numFmtId="0" fontId="79" fillId="15" borderId="1" xfId="0" applyFont="1" applyFill="1" applyBorder="1" applyAlignment="1">
      <alignment horizontal="center" vertical="center" wrapText="1" readingOrder="2"/>
    </xf>
    <xf numFmtId="0" fontId="0" fillId="4" borderId="2" xfId="0" applyFont="1" applyFill="1" applyBorder="1" applyAlignment="1">
      <alignment horizontal="center" vertical="center"/>
    </xf>
    <xf numFmtId="0" fontId="0" fillId="0" borderId="1" xfId="0" applyBorder="1" applyAlignment="1">
      <alignment vertical="center"/>
    </xf>
    <xf numFmtId="0" fontId="0" fillId="0" borderId="0" xfId="0" applyAlignment="1">
      <alignment horizontal="center"/>
    </xf>
    <xf numFmtId="0" fontId="0" fillId="0" borderId="0" xfId="0"/>
    <xf numFmtId="0" fontId="65" fillId="0" borderId="1" xfId="0" applyFont="1" applyBorder="1" applyAlignment="1">
      <alignment horizontal="center" vertical="center" wrapText="1"/>
    </xf>
    <xf numFmtId="0" fontId="24" fillId="18" borderId="1" xfId="3" applyFont="1" applyFill="1" applyBorder="1" applyAlignment="1">
      <alignment horizontal="center"/>
    </xf>
    <xf numFmtId="164" fontId="24" fillId="18" borderId="1" xfId="3" applyNumberFormat="1" applyFont="1" applyFill="1" applyBorder="1" applyAlignment="1">
      <alignment horizontal="center"/>
    </xf>
    <xf numFmtId="0" fontId="23" fillId="0" borderId="1" xfId="3" applyFont="1" applyFill="1" applyBorder="1" applyAlignment="1">
      <alignment horizontal="center"/>
    </xf>
    <xf numFmtId="0" fontId="0" fillId="0" borderId="0" xfId="0"/>
    <xf numFmtId="0" fontId="12" fillId="4" borderId="1" xfId="3" applyNumberFormat="1" applyFont="1" applyFill="1" applyBorder="1" applyAlignment="1" applyProtection="1">
      <alignment horizontal="center" vertical="center" wrapText="1"/>
    </xf>
    <xf numFmtId="0" fontId="12" fillId="4" borderId="1" xfId="3" applyFont="1" applyFill="1" applyBorder="1" applyAlignment="1" applyProtection="1">
      <alignment vertical="center"/>
      <protection locked="0"/>
    </xf>
    <xf numFmtId="0" fontId="18" fillId="4" borderId="1" xfId="0" applyFont="1" applyFill="1" applyBorder="1"/>
    <xf numFmtId="0" fontId="18" fillId="0" borderId="0" xfId="0" applyFont="1" applyBorder="1" applyAlignment="1">
      <alignment vertical="center"/>
    </xf>
    <xf numFmtId="0" fontId="18" fillId="0" borderId="0" xfId="0" applyFont="1" applyBorder="1" applyAlignment="1">
      <alignment horizontal="center" vertical="center"/>
    </xf>
    <xf numFmtId="0" fontId="18" fillId="4" borderId="0" xfId="0" applyFont="1" applyFill="1" applyBorder="1" applyAlignment="1">
      <alignment horizontal="center" vertical="center"/>
    </xf>
    <xf numFmtId="0" fontId="18" fillId="0" borderId="0" xfId="0" applyFont="1" applyBorder="1" applyAlignment="1">
      <alignment horizontal="right" vertical="center"/>
    </xf>
    <xf numFmtId="0" fontId="18" fillId="4" borderId="0" xfId="0" applyFont="1" applyFill="1" applyBorder="1" applyAlignment="1">
      <alignment horizontal="right" vertical="center"/>
    </xf>
    <xf numFmtId="2" fontId="3" fillId="8" borderId="1" xfId="0" applyNumberFormat="1" applyFont="1" applyFill="1" applyBorder="1" applyAlignment="1">
      <alignment horizontal="center" vertical="center"/>
    </xf>
    <xf numFmtId="0" fontId="72" fillId="4" borderId="1" xfId="0" applyFont="1" applyFill="1" applyBorder="1" applyAlignment="1">
      <alignment horizontal="right" vertical="center"/>
    </xf>
    <xf numFmtId="0" fontId="72" fillId="4" borderId="1" xfId="0" applyFont="1" applyFill="1" applyBorder="1" applyAlignment="1">
      <alignment horizontal="right" vertical="center" wrapText="1"/>
    </xf>
    <xf numFmtId="0" fontId="74" fillId="4" borderId="5" xfId="0" applyFont="1" applyFill="1" applyBorder="1" applyAlignment="1">
      <alignment horizontal="right" vertical="center" wrapText="1"/>
    </xf>
    <xf numFmtId="0" fontId="72" fillId="4" borderId="5" xfId="0" applyFont="1" applyFill="1" applyBorder="1" applyAlignment="1">
      <alignment horizontal="right" vertical="center"/>
    </xf>
    <xf numFmtId="1" fontId="72" fillId="4" borderId="1" xfId="0" applyNumberFormat="1" applyFont="1" applyFill="1" applyBorder="1" applyAlignment="1">
      <alignment vertical="center"/>
    </xf>
    <xf numFmtId="1" fontId="72" fillId="4" borderId="1" xfId="0" applyNumberFormat="1" applyFont="1" applyFill="1" applyBorder="1" applyAlignment="1">
      <alignment horizontal="right" vertical="center" wrapText="1"/>
    </xf>
    <xf numFmtId="165" fontId="72" fillId="0" borderId="1" xfId="13" applyNumberFormat="1" applyFont="1" applyBorder="1" applyAlignment="1">
      <alignment horizontal="right"/>
    </xf>
    <xf numFmtId="165" fontId="72" fillId="0" borderId="1" xfId="13" applyNumberFormat="1" applyFont="1" applyBorder="1" applyAlignment="1">
      <alignment horizontal="right" vertical="center"/>
    </xf>
    <xf numFmtId="1" fontId="72" fillId="0" borderId="1" xfId="0" applyNumberFormat="1" applyFont="1" applyBorder="1" applyAlignment="1">
      <alignment vertical="center"/>
    </xf>
    <xf numFmtId="1" fontId="72" fillId="0" borderId="1" xfId="0" applyNumberFormat="1" applyFont="1" applyBorder="1" applyAlignment="1">
      <alignment horizontal="right" vertical="center" wrapText="1"/>
    </xf>
    <xf numFmtId="0" fontId="72" fillId="0" borderId="1" xfId="0" applyFont="1" applyBorder="1" applyAlignment="1">
      <alignment vertical="center"/>
    </xf>
    <xf numFmtId="0" fontId="66" fillId="7" borderId="1" xfId="0" applyFont="1" applyFill="1" applyBorder="1" applyAlignment="1">
      <alignment horizontal="center" vertical="center"/>
    </xf>
    <xf numFmtId="0" fontId="66" fillId="4" borderId="1" xfId="0" applyFont="1" applyFill="1" applyBorder="1" applyAlignment="1">
      <alignment horizontal="center" vertical="center"/>
    </xf>
    <xf numFmtId="0" fontId="66" fillId="4" borderId="8" xfId="0" applyFont="1" applyFill="1" applyBorder="1" applyAlignment="1">
      <alignment horizontal="center" vertical="center"/>
    </xf>
    <xf numFmtId="0" fontId="3" fillId="8" borderId="1" xfId="0" applyFont="1" applyFill="1" applyBorder="1" applyAlignment="1">
      <alignment vertical="center"/>
    </xf>
    <xf numFmtId="0" fontId="3" fillId="15" borderId="1" xfId="0" applyFont="1" applyFill="1" applyBorder="1" applyAlignment="1">
      <alignment horizontal="center" vertical="center" readingOrder="2"/>
    </xf>
    <xf numFmtId="0" fontId="92" fillId="0" borderId="1" xfId="0" applyFont="1" applyBorder="1" applyAlignment="1">
      <alignment horizontal="center" vertical="center" wrapText="1" readingOrder="2"/>
    </xf>
    <xf numFmtId="0" fontId="92" fillId="0" borderId="1" xfId="0" applyFont="1" applyBorder="1" applyAlignment="1">
      <alignment horizontal="right" vertical="center" readingOrder="2"/>
    </xf>
    <xf numFmtId="164" fontId="92" fillId="4" borderId="1" xfId="1" applyNumberFormat="1" applyFont="1" applyFill="1" applyBorder="1" applyAlignment="1">
      <alignment horizontal="right" vertical="center" readingOrder="2"/>
    </xf>
    <xf numFmtId="0" fontId="92" fillId="0" borderId="1" xfId="0" applyFont="1" applyBorder="1" applyAlignment="1">
      <alignment horizontal="center" vertical="center" readingOrder="2"/>
    </xf>
    <xf numFmtId="164" fontId="92" fillId="0" borderId="1" xfId="1" applyNumberFormat="1" applyFont="1" applyBorder="1" applyAlignment="1">
      <alignment horizontal="right" vertical="center" readingOrder="2"/>
    </xf>
    <xf numFmtId="0" fontId="3" fillId="15" borderId="1" xfId="0" applyFont="1" applyFill="1" applyBorder="1" applyAlignment="1">
      <alignment horizontal="center" vertical="center" wrapText="1" readingOrder="2"/>
    </xf>
    <xf numFmtId="164" fontId="3" fillId="15" borderId="1" xfId="1" applyNumberFormat="1" applyFont="1" applyFill="1" applyBorder="1" applyAlignment="1">
      <alignment horizontal="center" vertical="center" readingOrder="2"/>
    </xf>
    <xf numFmtId="164" fontId="92" fillId="0" borderId="1" xfId="1" applyNumberFormat="1" applyFont="1" applyBorder="1" applyAlignment="1">
      <alignment horizontal="center" vertical="center" readingOrder="2"/>
    </xf>
    <xf numFmtId="0" fontId="92" fillId="0" borderId="8" xfId="0" applyFont="1" applyBorder="1" applyAlignment="1">
      <alignment horizontal="center" vertical="center" wrapText="1" readingOrder="2"/>
    </xf>
    <xf numFmtId="0" fontId="92" fillId="0" borderId="1" xfId="0" applyFont="1" applyFill="1" applyBorder="1" applyAlignment="1">
      <alignment horizontal="center" vertical="center" wrapText="1" readingOrder="2"/>
    </xf>
    <xf numFmtId="0" fontId="92" fillId="0" borderId="1" xfId="0" applyFont="1" applyFill="1" applyBorder="1" applyAlignment="1">
      <alignment horizontal="right" vertical="center" readingOrder="2"/>
    </xf>
    <xf numFmtId="164" fontId="92" fillId="0" borderId="1" xfId="1" applyNumberFormat="1" applyFont="1" applyFill="1" applyBorder="1" applyAlignment="1">
      <alignment horizontal="right" vertical="center" readingOrder="2"/>
    </xf>
    <xf numFmtId="0" fontId="92" fillId="0" borderId="1" xfId="0" applyFont="1" applyFill="1" applyBorder="1" applyAlignment="1">
      <alignment horizontal="center" vertical="center" readingOrder="2"/>
    </xf>
    <xf numFmtId="0" fontId="92" fillId="4" borderId="1" xfId="0" applyFont="1" applyFill="1" applyBorder="1" applyAlignment="1">
      <alignment horizontal="center" vertical="center" wrapText="1" readingOrder="2"/>
    </xf>
    <xf numFmtId="0" fontId="92" fillId="3" borderId="1" xfId="0" applyFont="1" applyFill="1" applyBorder="1" applyAlignment="1">
      <alignment horizontal="center" vertical="center" readingOrder="2"/>
    </xf>
    <xf numFmtId="164" fontId="94" fillId="0" borderId="1" xfId="1" applyNumberFormat="1" applyFont="1" applyBorder="1" applyAlignment="1">
      <alignment horizontal="right" vertical="center" readingOrder="2"/>
    </xf>
    <xf numFmtId="164" fontId="95" fillId="0" borderId="1" xfId="1" applyNumberFormat="1" applyFont="1" applyBorder="1" applyAlignment="1">
      <alignment horizontal="right" vertical="center" readingOrder="2"/>
    </xf>
    <xf numFmtId="0" fontId="92" fillId="0" borderId="2" xfId="0" applyFont="1" applyBorder="1" applyAlignment="1">
      <alignment horizontal="center" vertical="center" wrapText="1" readingOrder="2"/>
    </xf>
    <xf numFmtId="0" fontId="92" fillId="0" borderId="2" xfId="0" applyFont="1" applyBorder="1" applyAlignment="1">
      <alignment horizontal="right" vertical="center" readingOrder="2"/>
    </xf>
    <xf numFmtId="164" fontId="92" fillId="0" borderId="2" xfId="1" applyNumberFormat="1" applyFont="1" applyBorder="1" applyAlignment="1">
      <alignment horizontal="right" vertical="center" readingOrder="2"/>
    </xf>
    <xf numFmtId="0" fontId="10" fillId="4" borderId="1" xfId="0" applyFont="1" applyFill="1" applyBorder="1" applyAlignment="1">
      <alignment horizontal="center" vertical="center" wrapText="1" readingOrder="2"/>
    </xf>
    <xf numFmtId="2" fontId="10" fillId="0" borderId="1" xfId="0" applyNumberFormat="1" applyFont="1" applyFill="1" applyBorder="1" applyAlignment="1">
      <alignment horizontal="center" vertical="center" wrapText="1"/>
    </xf>
    <xf numFmtId="2" fontId="71" fillId="4" borderId="1" xfId="0" applyNumberFormat="1" applyFont="1" applyFill="1" applyBorder="1" applyAlignment="1">
      <alignment horizontal="center" vertical="center" wrapText="1"/>
    </xf>
    <xf numFmtId="1" fontId="0" fillId="4" borderId="1" xfId="0" applyNumberFormat="1" applyFont="1" applyFill="1" applyBorder="1" applyAlignment="1">
      <alignment vertical="center"/>
    </xf>
    <xf numFmtId="0" fontId="0" fillId="0" borderId="1" xfId="0" applyFont="1" applyBorder="1" applyAlignment="1">
      <alignment vertical="center"/>
    </xf>
    <xf numFmtId="1" fontId="0" fillId="0" borderId="1" xfId="0" applyNumberFormat="1" applyFont="1" applyBorder="1" applyAlignment="1">
      <alignment vertical="center"/>
    </xf>
    <xf numFmtId="1" fontId="0" fillId="0" borderId="1" xfId="0" applyNumberFormat="1" applyFont="1" applyBorder="1" applyAlignment="1">
      <alignment horizontal="center" vertical="center"/>
    </xf>
    <xf numFmtId="1" fontId="0" fillId="0" borderId="1" xfId="0" applyNumberFormat="1" applyFont="1" applyBorder="1"/>
    <xf numFmtId="0" fontId="17" fillId="7" borderId="1" xfId="0" applyFont="1" applyFill="1" applyBorder="1" applyAlignment="1">
      <alignment horizontal="center" vertical="center"/>
    </xf>
    <xf numFmtId="0" fontId="17" fillId="7"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94"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54" fillId="4" borderId="1" xfId="0" applyFont="1" applyFill="1" applyBorder="1" applyAlignment="1">
      <alignment horizontal="center" vertical="center"/>
    </xf>
    <xf numFmtId="2" fontId="3" fillId="11" borderId="1" xfId="0" applyNumberFormat="1" applyFont="1" applyFill="1" applyBorder="1" applyAlignment="1">
      <alignment horizontal="center" vertical="center"/>
    </xf>
    <xf numFmtId="2" fontId="54" fillId="4" borderId="1" xfId="0" applyNumberFormat="1" applyFont="1" applyFill="1" applyBorder="1" applyAlignment="1">
      <alignment horizontal="center" vertical="center"/>
    </xf>
    <xf numFmtId="0" fontId="3" fillId="4" borderId="0" xfId="0" applyFont="1" applyFill="1" applyBorder="1" applyAlignment="1">
      <alignment horizontal="center" vertical="center"/>
    </xf>
    <xf numFmtId="1" fontId="96" fillId="4" borderId="0" xfId="1" applyNumberFormat="1" applyFont="1" applyFill="1" applyBorder="1" applyAlignment="1">
      <alignment horizontal="center" vertical="center"/>
    </xf>
    <xf numFmtId="164" fontId="3" fillId="4" borderId="0" xfId="0" applyNumberFormat="1" applyFont="1" applyFill="1" applyBorder="1" applyAlignment="1">
      <alignment horizontal="right" vertical="center"/>
    </xf>
    <xf numFmtId="164" fontId="54" fillId="4" borderId="0" xfId="1" applyNumberFormat="1" applyFont="1" applyFill="1" applyBorder="1" applyAlignment="1">
      <alignment vertical="center"/>
    </xf>
    <xf numFmtId="166" fontId="54" fillId="4" borderId="0" xfId="1" applyNumberFormat="1" applyFont="1" applyFill="1" applyBorder="1" applyAlignment="1">
      <alignment vertical="center"/>
    </xf>
    <xf numFmtId="0" fontId="54" fillId="4" borderId="0" xfId="0" applyFont="1" applyFill="1" applyBorder="1" applyAlignment="1">
      <alignment horizontal="center" vertical="center"/>
    </xf>
    <xf numFmtId="0" fontId="54" fillId="4" borderId="0" xfId="0" applyFont="1" applyFill="1" applyBorder="1" applyAlignment="1">
      <alignment horizontal="center" vertical="center" wrapText="1" readingOrder="2"/>
    </xf>
    <xf numFmtId="0" fontId="3" fillId="4" borderId="0" xfId="0" applyFont="1" applyFill="1" applyBorder="1" applyAlignment="1">
      <alignment horizontal="right" vertical="center"/>
    </xf>
    <xf numFmtId="164" fontId="54" fillId="4" borderId="0" xfId="1" applyNumberFormat="1" applyFont="1" applyFill="1" applyBorder="1" applyAlignment="1">
      <alignment horizontal="right" vertical="center"/>
    </xf>
    <xf numFmtId="166" fontId="54" fillId="4" borderId="0" xfId="1" applyNumberFormat="1" applyFont="1" applyFill="1" applyBorder="1" applyAlignment="1">
      <alignment horizontal="right" vertical="center"/>
    </xf>
    <xf numFmtId="164" fontId="54" fillId="0" borderId="0" xfId="1" applyNumberFormat="1" applyFont="1" applyBorder="1" applyAlignment="1">
      <alignment horizontal="right" vertical="center"/>
    </xf>
    <xf numFmtId="166" fontId="54" fillId="0" borderId="0" xfId="1" applyNumberFormat="1" applyFont="1" applyBorder="1" applyAlignment="1">
      <alignment horizontal="right" vertical="center"/>
    </xf>
    <xf numFmtId="0" fontId="54" fillId="0" borderId="0" xfId="0" applyFont="1" applyBorder="1" applyAlignment="1">
      <alignment horizontal="center" vertical="center"/>
    </xf>
    <xf numFmtId="0" fontId="54" fillId="0" borderId="0" xfId="0" applyFont="1" applyBorder="1" applyAlignment="1">
      <alignment horizontal="center" vertical="center" wrapText="1" readingOrder="2"/>
    </xf>
    <xf numFmtId="164" fontId="3" fillId="21" borderId="0" xfId="1" applyNumberFormat="1" applyFont="1" applyFill="1" applyBorder="1" applyAlignment="1">
      <alignment horizontal="center" vertical="center"/>
    </xf>
    <xf numFmtId="166" fontId="3" fillId="21" borderId="0" xfId="1" applyNumberFormat="1" applyFont="1" applyFill="1" applyBorder="1" applyAlignment="1">
      <alignment horizontal="center" vertical="center"/>
    </xf>
    <xf numFmtId="164" fontId="3" fillId="21" borderId="0" xfId="1" applyNumberFormat="1" applyFont="1" applyFill="1" applyBorder="1" applyAlignment="1">
      <alignment vertical="center"/>
    </xf>
    <xf numFmtId="0" fontId="3" fillId="21" borderId="0" xfId="0" applyFont="1" applyFill="1" applyBorder="1" applyAlignment="1">
      <alignment horizontal="center" vertical="center" readingOrder="1"/>
    </xf>
    <xf numFmtId="164" fontId="54" fillId="0" borderId="0" xfId="1" applyNumberFormat="1" applyFont="1" applyBorder="1" applyAlignment="1">
      <alignment horizontal="center" vertical="center"/>
    </xf>
    <xf numFmtId="166" fontId="54" fillId="0" borderId="0" xfId="1" applyNumberFormat="1" applyFont="1" applyBorder="1" applyAlignment="1">
      <alignment horizontal="center" vertical="center"/>
    </xf>
    <xf numFmtId="164" fontId="54" fillId="0" borderId="0" xfId="1" applyNumberFormat="1" applyFont="1" applyBorder="1" applyAlignment="1">
      <alignment horizontal="right" vertical="center" readingOrder="2"/>
    </xf>
    <xf numFmtId="169" fontId="54" fillId="0" borderId="0" xfId="0" applyNumberFormat="1" applyFont="1" applyBorder="1" applyAlignment="1">
      <alignment horizontal="center" vertical="center"/>
    </xf>
    <xf numFmtId="0" fontId="84" fillId="4" borderId="1" xfId="0" applyFont="1" applyFill="1" applyBorder="1" applyAlignment="1">
      <alignment horizontal="right" vertical="center" wrapText="1" readingOrder="2"/>
    </xf>
    <xf numFmtId="0" fontId="83" fillId="7" borderId="1" xfId="0" applyFont="1" applyFill="1" applyBorder="1" applyAlignment="1">
      <alignment vertical="center" wrapText="1" readingOrder="2"/>
    </xf>
    <xf numFmtId="0" fontId="72" fillId="4" borderId="1" xfId="0" applyFont="1" applyFill="1" applyBorder="1" applyAlignment="1">
      <alignment vertical="center" wrapText="1" readingOrder="2"/>
    </xf>
    <xf numFmtId="0" fontId="72" fillId="0" borderId="1" xfId="0" applyFont="1" applyBorder="1" applyAlignment="1">
      <alignment horizontal="right" vertical="center" wrapText="1" readingOrder="2"/>
    </xf>
    <xf numFmtId="0" fontId="91" fillId="4" borderId="1" xfId="0" applyFont="1" applyFill="1" applyBorder="1" applyAlignment="1">
      <alignment vertical="center" wrapText="1"/>
    </xf>
    <xf numFmtId="0" fontId="72" fillId="0" borderId="0" xfId="0" applyFont="1" applyAlignment="1">
      <alignment readingOrder="2"/>
    </xf>
    <xf numFmtId="0" fontId="72" fillId="0" borderId="13" xfId="0" applyFont="1" applyBorder="1" applyAlignment="1">
      <alignment vertical="center" wrapText="1"/>
    </xf>
    <xf numFmtId="0" fontId="84" fillId="0" borderId="1" xfId="0" applyFont="1" applyFill="1" applyBorder="1" applyAlignment="1">
      <alignment horizontal="right" vertical="center" wrapText="1" readingOrder="2"/>
    </xf>
    <xf numFmtId="0" fontId="84" fillId="0" borderId="13" xfId="0" applyFont="1" applyFill="1" applyBorder="1" applyAlignment="1">
      <alignment horizontal="right" vertical="center" wrapText="1" readingOrder="2"/>
    </xf>
    <xf numFmtId="0" fontId="84" fillId="4" borderId="13" xfId="0" applyFont="1" applyFill="1" applyBorder="1" applyAlignment="1">
      <alignment horizontal="right" vertical="center" wrapText="1" readingOrder="2"/>
    </xf>
    <xf numFmtId="0" fontId="73" fillId="10" borderId="1" xfId="0" applyFont="1" applyFill="1" applyBorder="1" applyAlignment="1">
      <alignment horizontal="center" vertical="center" wrapText="1" readingOrder="2"/>
    </xf>
    <xf numFmtId="0" fontId="73" fillId="10" borderId="13" xfId="0" applyFont="1" applyFill="1" applyBorder="1" applyAlignment="1">
      <alignment horizontal="center" vertical="center" wrapText="1" readingOrder="2"/>
    </xf>
    <xf numFmtId="0" fontId="72" fillId="4" borderId="9" xfId="0" applyFont="1" applyFill="1" applyBorder="1" applyAlignment="1">
      <alignment vertical="center" wrapText="1" readingOrder="2"/>
    </xf>
    <xf numFmtId="0" fontId="71" fillId="10" borderId="1" xfId="0" applyFont="1" applyFill="1" applyBorder="1" applyAlignment="1">
      <alignment horizontal="center" vertical="center" wrapText="1" readingOrder="2"/>
    </xf>
    <xf numFmtId="0" fontId="0" fillId="0" borderId="1" xfId="0" applyFont="1" applyBorder="1" applyAlignment="1">
      <alignment horizontal="center" vertical="center"/>
    </xf>
    <xf numFmtId="164" fontId="13" fillId="5" borderId="1" xfId="1" applyNumberFormat="1" applyFont="1" applyFill="1" applyBorder="1" applyAlignment="1">
      <alignment horizontal="right" vertical="center" wrapText="1" readingOrder="2"/>
    </xf>
    <xf numFmtId="164" fontId="13" fillId="7" borderId="1" xfId="1" applyNumberFormat="1" applyFont="1" applyFill="1" applyBorder="1" applyAlignment="1">
      <alignment vertical="center" wrapText="1" readingOrder="2"/>
    </xf>
    <xf numFmtId="0" fontId="67" fillId="14" borderId="9" xfId="0" applyFont="1" applyFill="1" applyBorder="1" applyAlignment="1">
      <alignment horizontal="center" vertical="center" wrapText="1" readingOrder="2"/>
    </xf>
    <xf numFmtId="0" fontId="67" fillId="14" borderId="1" xfId="0" applyFont="1" applyFill="1" applyBorder="1" applyAlignment="1">
      <alignment horizontal="center" vertical="center" readingOrder="2"/>
    </xf>
    <xf numFmtId="0" fontId="42" fillId="14" borderId="1" xfId="0" applyFont="1" applyFill="1" applyBorder="1" applyAlignment="1">
      <alignment horizontal="center" vertical="center" readingOrder="2"/>
    </xf>
    <xf numFmtId="43" fontId="42" fillId="14" borderId="1" xfId="0" applyNumberFormat="1" applyFont="1" applyFill="1" applyBorder="1" applyAlignment="1">
      <alignment horizontal="center" vertical="center" readingOrder="2"/>
    </xf>
    <xf numFmtId="0" fontId="73" fillId="14" borderId="13" xfId="0" applyFont="1" applyFill="1" applyBorder="1" applyAlignment="1">
      <alignment horizontal="center" vertical="center" readingOrder="2"/>
    </xf>
    <xf numFmtId="0" fontId="68" fillId="0" borderId="1" xfId="10" applyFont="1" applyFill="1" applyBorder="1" applyAlignment="1">
      <alignment horizontal="center" vertical="center" readingOrder="2"/>
    </xf>
    <xf numFmtId="0" fontId="45" fillId="0" borderId="1" xfId="10" applyFont="1" applyFill="1" applyBorder="1" applyAlignment="1">
      <alignment horizontal="center" vertical="center" readingOrder="2"/>
    </xf>
    <xf numFmtId="43" fontId="45" fillId="0" borderId="1" xfId="10" applyNumberFormat="1" applyFont="1" applyFill="1" applyBorder="1" applyAlignment="1">
      <alignment horizontal="center" vertical="center" readingOrder="2"/>
    </xf>
    <xf numFmtId="0" fontId="68" fillId="4" borderId="1" xfId="10" applyFont="1" applyFill="1" applyBorder="1" applyAlignment="1">
      <alignment horizontal="center" vertical="center" readingOrder="2"/>
    </xf>
    <xf numFmtId="0" fontId="45" fillId="4" borderId="1" xfId="10" applyFont="1" applyFill="1" applyBorder="1" applyAlignment="1">
      <alignment horizontal="center" vertical="center" readingOrder="2"/>
    </xf>
    <xf numFmtId="0" fontId="68" fillId="0" borderId="9" xfId="0" applyFont="1" applyFill="1" applyBorder="1" applyAlignment="1">
      <alignment horizontal="right" vertical="center" readingOrder="2"/>
    </xf>
    <xf numFmtId="0" fontId="72" fillId="0" borderId="1" xfId="0" applyFont="1" applyBorder="1" applyAlignment="1">
      <alignment horizontal="center" vertical="center" wrapText="1" readingOrder="2"/>
    </xf>
    <xf numFmtId="0" fontId="0" fillId="0" borderId="1" xfId="0" applyFont="1" applyBorder="1" applyAlignment="1">
      <alignment horizontal="center" vertical="center" wrapText="1" readingOrder="2"/>
    </xf>
    <xf numFmtId="0" fontId="72" fillId="0" borderId="13" xfId="0" applyFont="1" applyBorder="1" applyAlignment="1">
      <alignment horizontal="center" vertical="center" wrapText="1" readingOrder="2"/>
    </xf>
    <xf numFmtId="1" fontId="68" fillId="0" borderId="9" xfId="0" applyNumberFormat="1" applyFont="1" applyFill="1" applyBorder="1" applyAlignment="1">
      <alignment horizontal="right" vertical="center" readingOrder="2"/>
    </xf>
    <xf numFmtId="0" fontId="72" fillId="0" borderId="1" xfId="0" applyFont="1" applyBorder="1" applyAlignment="1">
      <alignment horizontal="center" vertical="center" readingOrder="2"/>
    </xf>
    <xf numFmtId="0" fontId="72" fillId="0" borderId="9" xfId="0" applyFont="1" applyBorder="1" applyAlignment="1">
      <alignment horizontal="right" vertical="center" wrapText="1" readingOrder="2"/>
    </xf>
    <xf numFmtId="0" fontId="72" fillId="4" borderId="1" xfId="0" applyFont="1" applyFill="1" applyBorder="1" applyAlignment="1">
      <alignment horizontal="center" vertical="center" wrapText="1" readingOrder="2"/>
    </xf>
    <xf numFmtId="0" fontId="72" fillId="0" borderId="9" xfId="0" applyFont="1" applyBorder="1" applyAlignment="1">
      <alignment vertical="center" readingOrder="2"/>
    </xf>
    <xf numFmtId="0" fontId="13" fillId="7" borderId="1" xfId="0" applyFont="1" applyFill="1" applyBorder="1" applyAlignment="1">
      <alignment horizontal="center" vertical="center" wrapText="1" readingOrder="2"/>
    </xf>
    <xf numFmtId="0" fontId="13" fillId="5" borderId="1" xfId="0" applyFont="1" applyFill="1" applyBorder="1" applyAlignment="1">
      <alignment horizontal="center" vertical="center" wrapText="1" readingOrder="2"/>
    </xf>
    <xf numFmtId="0" fontId="97" fillId="31" borderId="15" xfId="10" applyFont="1" applyFill="1" applyBorder="1" applyAlignment="1">
      <alignment horizontal="center" vertical="center" wrapText="1" readingOrder="2"/>
    </xf>
    <xf numFmtId="0" fontId="97" fillId="31" borderId="1" xfId="10" applyFont="1" applyFill="1" applyBorder="1" applyAlignment="1">
      <alignment horizontal="center" vertical="center" readingOrder="2"/>
    </xf>
    <xf numFmtId="0" fontId="99" fillId="31" borderId="1" xfId="10" applyFont="1" applyFill="1" applyBorder="1" applyAlignment="1">
      <alignment horizontal="center" vertical="center" readingOrder="2"/>
    </xf>
    <xf numFmtId="43" fontId="99" fillId="31" borderId="1" xfId="10" applyNumberFormat="1" applyFont="1" applyFill="1" applyBorder="1" applyAlignment="1">
      <alignment horizontal="center" vertical="center" readingOrder="2"/>
    </xf>
    <xf numFmtId="43" fontId="100" fillId="31" borderId="13" xfId="0" applyNumberFormat="1" applyFont="1" applyFill="1" applyBorder="1" applyAlignment="1">
      <alignment horizontal="right" vertical="center" wrapText="1" readingOrder="2"/>
    </xf>
    <xf numFmtId="0" fontId="72" fillId="0" borderId="1" xfId="0" applyFont="1" applyBorder="1" applyAlignment="1">
      <alignment vertical="center" readingOrder="2"/>
    </xf>
    <xf numFmtId="0" fontId="83" fillId="5" borderId="1" xfId="0" applyFont="1" applyFill="1" applyBorder="1" applyAlignment="1">
      <alignment horizontal="center" vertical="center" wrapText="1" readingOrder="2"/>
    </xf>
    <xf numFmtId="0" fontId="83" fillId="7" borderId="1" xfId="0" applyFont="1" applyFill="1" applyBorder="1" applyAlignment="1">
      <alignment horizontal="center" vertical="center" wrapText="1" readingOrder="2"/>
    </xf>
    <xf numFmtId="164" fontId="76" fillId="14" borderId="13" xfId="1" applyNumberFormat="1" applyFont="1" applyFill="1" applyBorder="1" applyAlignment="1">
      <alignment horizontal="center" vertical="center" wrapText="1" readingOrder="2"/>
    </xf>
    <xf numFmtId="164" fontId="76" fillId="0" borderId="13" xfId="1" applyNumberFormat="1" applyFont="1" applyFill="1" applyBorder="1" applyAlignment="1">
      <alignment horizontal="center" vertical="center" wrapText="1" readingOrder="2"/>
    </xf>
    <xf numFmtId="164" fontId="76" fillId="4" borderId="13" xfId="1" applyNumberFormat="1" applyFont="1" applyFill="1" applyBorder="1" applyAlignment="1">
      <alignment horizontal="center" vertical="center" wrapText="1" readingOrder="2"/>
    </xf>
    <xf numFmtId="164" fontId="71" fillId="10" borderId="1" xfId="1" applyNumberFormat="1" applyFont="1" applyFill="1" applyBorder="1" applyAlignment="1">
      <alignment horizontal="center" vertical="center" wrapText="1" readingOrder="2"/>
    </xf>
    <xf numFmtId="164" fontId="0" fillId="0" borderId="1" xfId="1" applyNumberFormat="1" applyFont="1" applyBorder="1" applyAlignment="1">
      <alignment horizontal="center" vertical="center" wrapText="1" readingOrder="2"/>
    </xf>
    <xf numFmtId="164" fontId="0" fillId="12" borderId="1" xfId="1" applyNumberFormat="1" applyFont="1" applyFill="1" applyBorder="1" applyAlignment="1">
      <alignment horizontal="center" vertical="center" wrapText="1" readingOrder="2"/>
    </xf>
    <xf numFmtId="164" fontId="99" fillId="31" borderId="13" xfId="1" applyNumberFormat="1" applyFont="1" applyFill="1" applyBorder="1" applyAlignment="1">
      <alignment horizontal="center" vertical="center" wrapText="1" readingOrder="2"/>
    </xf>
    <xf numFmtId="0" fontId="67" fillId="11" borderId="2" xfId="0" applyFont="1" applyFill="1" applyBorder="1" applyAlignment="1">
      <alignment horizontal="center" vertical="center"/>
    </xf>
    <xf numFmtId="0" fontId="73" fillId="11" borderId="2" xfId="0" applyFont="1" applyFill="1" applyBorder="1" applyAlignment="1">
      <alignment horizontal="center" vertical="center"/>
    </xf>
    <xf numFmtId="0" fontId="67" fillId="11" borderId="8" xfId="0" applyFont="1" applyFill="1" applyBorder="1" applyAlignment="1">
      <alignment horizontal="center" vertical="center"/>
    </xf>
    <xf numFmtId="0" fontId="73" fillId="11" borderId="8" xfId="0" applyFont="1" applyFill="1" applyBorder="1" applyAlignment="1">
      <alignment horizontal="center" vertical="center"/>
    </xf>
    <xf numFmtId="0" fontId="66" fillId="4" borderId="2" xfId="0" applyFont="1" applyFill="1" applyBorder="1" applyAlignment="1">
      <alignment horizontal="center" vertical="center"/>
    </xf>
    <xf numFmtId="166" fontId="3" fillId="11" borderId="1" xfId="1" applyNumberFormat="1" applyFont="1" applyFill="1" applyBorder="1" applyAlignment="1">
      <alignment horizontal="center" vertical="center"/>
    </xf>
    <xf numFmtId="164" fontId="54" fillId="8" borderId="1" xfId="1" applyNumberFormat="1" applyFont="1" applyFill="1" applyBorder="1" applyAlignment="1">
      <alignment horizontal="center" vertical="center" readingOrder="2"/>
    </xf>
    <xf numFmtId="0" fontId="75" fillId="29" borderId="13" xfId="0" applyFont="1" applyFill="1" applyBorder="1" applyAlignment="1">
      <alignment vertical="center" readingOrder="2"/>
    </xf>
    <xf numFmtId="0" fontId="92" fillId="0" borderId="13" xfId="0" applyFont="1" applyBorder="1" applyAlignment="1">
      <alignment horizontal="right" vertical="center" readingOrder="2"/>
    </xf>
    <xf numFmtId="0" fontId="3" fillId="15" borderId="13" xfId="0" applyFont="1" applyFill="1" applyBorder="1" applyAlignment="1">
      <alignment horizontal="center" vertical="center" readingOrder="2"/>
    </xf>
    <xf numFmtId="0" fontId="92" fillId="0" borderId="23" xfId="0" applyFont="1" applyBorder="1" applyAlignment="1">
      <alignment horizontal="center" vertical="center" readingOrder="2"/>
    </xf>
    <xf numFmtId="0" fontId="92" fillId="0" borderId="13" xfId="0" applyFont="1" applyBorder="1" applyAlignment="1">
      <alignment horizontal="center" vertical="center" readingOrder="2"/>
    </xf>
    <xf numFmtId="2" fontId="10" fillId="4" borderId="13" xfId="0" applyNumberFormat="1" applyFont="1" applyFill="1" applyBorder="1" applyAlignment="1">
      <alignment horizontal="center" vertical="center"/>
    </xf>
    <xf numFmtId="0" fontId="10" fillId="4" borderId="13" xfId="0" applyFont="1" applyFill="1" applyBorder="1" applyAlignment="1">
      <alignment horizontal="center" vertical="center" wrapText="1" readingOrder="2"/>
    </xf>
    <xf numFmtId="2" fontId="10" fillId="0" borderId="13" xfId="0" applyNumberFormat="1" applyFont="1" applyFill="1" applyBorder="1" applyAlignment="1">
      <alignment horizontal="center" vertical="center"/>
    </xf>
    <xf numFmtId="2" fontId="10" fillId="4" borderId="13" xfId="0" applyNumberFormat="1" applyFont="1" applyFill="1" applyBorder="1" applyAlignment="1">
      <alignment horizontal="center" vertical="center" readingOrder="2"/>
    </xf>
    <xf numFmtId="0" fontId="10" fillId="4" borderId="13" xfId="0" applyFont="1" applyFill="1" applyBorder="1" applyAlignment="1">
      <alignment horizontal="center" vertical="center"/>
    </xf>
    <xf numFmtId="0" fontId="10" fillId="4" borderId="13" xfId="0" applyFont="1" applyFill="1" applyBorder="1" applyAlignment="1">
      <alignment horizontal="center" vertical="center" readingOrder="2"/>
    </xf>
    <xf numFmtId="1" fontId="0" fillId="4" borderId="13" xfId="0" applyNumberFormat="1" applyFont="1" applyFill="1" applyBorder="1" applyAlignment="1">
      <alignment vertical="center"/>
    </xf>
    <xf numFmtId="0" fontId="0" fillId="0" borderId="13" xfId="0" applyFont="1" applyBorder="1" applyAlignment="1">
      <alignment vertical="center"/>
    </xf>
    <xf numFmtId="1" fontId="0" fillId="0" borderId="13" xfId="0" applyNumberFormat="1" applyFont="1" applyBorder="1" applyAlignment="1">
      <alignment vertical="center"/>
    </xf>
    <xf numFmtId="0" fontId="17" fillId="7" borderId="13" xfId="0" applyFont="1" applyFill="1" applyBorder="1" applyAlignment="1">
      <alignment horizontal="center" vertical="center"/>
    </xf>
    <xf numFmtId="0" fontId="18" fillId="4" borderId="13" xfId="0" applyFont="1" applyFill="1" applyBorder="1" applyAlignment="1">
      <alignment horizontal="center" vertical="center"/>
    </xf>
    <xf numFmtId="0" fontId="94" fillId="4" borderId="13" xfId="0" applyFont="1" applyFill="1" applyBorder="1" applyAlignment="1">
      <alignment horizontal="center" vertical="center"/>
    </xf>
    <xf numFmtId="2" fontId="10" fillId="4" borderId="1" xfId="0" applyNumberFormat="1" applyFont="1" applyFill="1" applyBorder="1" applyAlignment="1">
      <alignment wrapText="1"/>
    </xf>
    <xf numFmtId="164" fontId="3" fillId="15" borderId="1" xfId="1" applyNumberFormat="1" applyFont="1" applyFill="1" applyBorder="1" applyAlignment="1">
      <alignment horizontal="center" vertical="center" wrapText="1" readingOrder="2"/>
    </xf>
    <xf numFmtId="164" fontId="92" fillId="0" borderId="1" xfId="1" applyNumberFormat="1" applyFont="1" applyFill="1" applyBorder="1" applyAlignment="1">
      <alignment horizontal="center" vertical="center" readingOrder="2"/>
    </xf>
    <xf numFmtId="164" fontId="10" fillId="4" borderId="1" xfId="1" applyNumberFormat="1" applyFont="1" applyFill="1" applyBorder="1" applyAlignment="1">
      <alignment horizontal="center" vertical="center"/>
    </xf>
    <xf numFmtId="164" fontId="10" fillId="0" borderId="1" xfId="1" applyNumberFormat="1" applyFont="1" applyFill="1" applyBorder="1" applyAlignment="1">
      <alignment horizontal="center" vertical="center"/>
    </xf>
    <xf numFmtId="164" fontId="0" fillId="0" borderId="1" xfId="1" applyNumberFormat="1" applyFont="1" applyBorder="1" applyAlignment="1">
      <alignment vertical="center"/>
    </xf>
    <xf numFmtId="164" fontId="17" fillId="7" borderId="1" xfId="1" applyNumberFormat="1" applyFont="1" applyFill="1" applyBorder="1" applyAlignment="1">
      <alignment horizontal="center" vertical="center"/>
    </xf>
    <xf numFmtId="164" fontId="96" fillId="0" borderId="1" xfId="1" applyNumberFormat="1" applyFont="1" applyFill="1" applyBorder="1" applyAlignment="1">
      <alignment horizontal="center" vertical="center"/>
    </xf>
    <xf numFmtId="164" fontId="96" fillId="4" borderId="1" xfId="1" applyNumberFormat="1" applyFont="1" applyFill="1" applyBorder="1" applyAlignment="1">
      <alignment horizontal="center" vertical="center"/>
    </xf>
    <xf numFmtId="164" fontId="20" fillId="8" borderId="1" xfId="1" applyNumberFormat="1" applyFont="1" applyFill="1" applyBorder="1" applyAlignment="1">
      <alignment horizontal="center" vertical="center"/>
    </xf>
    <xf numFmtId="164" fontId="96" fillId="4" borderId="0" xfId="1" applyNumberFormat="1" applyFont="1" applyFill="1" applyBorder="1" applyAlignment="1">
      <alignment horizontal="center" vertical="center"/>
    </xf>
    <xf numFmtId="164" fontId="2" fillId="4" borderId="1" xfId="1" applyNumberFormat="1" applyFont="1" applyFill="1" applyBorder="1" applyAlignment="1">
      <alignment vertical="center"/>
    </xf>
    <xf numFmtId="164" fontId="2" fillId="4" borderId="0" xfId="1" applyNumberFormat="1" applyFont="1" applyFill="1" applyAlignment="1">
      <alignment vertical="center"/>
    </xf>
    <xf numFmtId="164" fontId="0" fillId="4" borderId="0" xfId="1" applyNumberFormat="1" applyFont="1" applyFill="1" applyAlignment="1">
      <alignment vertical="center"/>
    </xf>
    <xf numFmtId="164" fontId="0" fillId="4" borderId="0" xfId="1" applyNumberFormat="1" applyFont="1" applyFill="1" applyAlignment="1"/>
    <xf numFmtId="164" fontId="94" fillId="4" borderId="1" xfId="1" applyNumberFormat="1" applyFont="1" applyFill="1" applyBorder="1" applyAlignment="1">
      <alignment horizontal="center" vertical="center"/>
    </xf>
    <xf numFmtId="164" fontId="3" fillId="4" borderId="1" xfId="1" applyNumberFormat="1" applyFont="1" applyFill="1" applyBorder="1" applyAlignment="1">
      <alignment horizontal="center" vertical="center"/>
    </xf>
    <xf numFmtId="164" fontId="3" fillId="11" borderId="1" xfId="1" applyNumberFormat="1" applyFont="1" applyFill="1" applyBorder="1" applyAlignment="1">
      <alignment horizontal="center" vertical="center"/>
    </xf>
    <xf numFmtId="164" fontId="54" fillId="4" borderId="1" xfId="1" applyNumberFormat="1" applyFont="1" applyFill="1" applyBorder="1" applyAlignment="1">
      <alignment horizontal="center" vertical="center" wrapText="1" readingOrder="2"/>
    </xf>
    <xf numFmtId="164" fontId="3" fillId="8" borderId="1" xfId="1" applyNumberFormat="1" applyFont="1" applyFill="1" applyBorder="1" applyAlignment="1">
      <alignment horizontal="center" vertical="center" wrapText="1" readingOrder="2"/>
    </xf>
    <xf numFmtId="164" fontId="3" fillId="4" borderId="0" xfId="1" applyNumberFormat="1" applyFont="1" applyFill="1" applyBorder="1" applyAlignment="1">
      <alignment horizontal="center" vertical="center"/>
    </xf>
    <xf numFmtId="164" fontId="3" fillId="4" borderId="0" xfId="1" applyNumberFormat="1" applyFont="1" applyFill="1" applyBorder="1" applyAlignment="1">
      <alignment horizontal="right" vertical="center"/>
    </xf>
    <xf numFmtId="0" fontId="81" fillId="20" borderId="1" xfId="0" applyFont="1" applyFill="1" applyBorder="1" applyAlignment="1">
      <alignment horizontal="right" vertical="center" wrapText="1" readingOrder="2"/>
    </xf>
    <xf numFmtId="0" fontId="93" fillId="20" borderId="1" xfId="0" applyFont="1" applyFill="1" applyBorder="1" applyAlignment="1">
      <alignment horizontal="center" vertical="center" wrapText="1" readingOrder="2"/>
    </xf>
    <xf numFmtId="0" fontId="93" fillId="20" borderId="1" xfId="0" applyFont="1" applyFill="1" applyBorder="1" applyAlignment="1">
      <alignment horizontal="right" vertical="center" readingOrder="2"/>
    </xf>
    <xf numFmtId="164" fontId="93" fillId="20" borderId="1" xfId="1" applyNumberFormat="1" applyFont="1" applyFill="1" applyBorder="1" applyAlignment="1">
      <alignment horizontal="right" vertical="center" readingOrder="2"/>
    </xf>
    <xf numFmtId="0" fontId="93" fillId="20" borderId="13" xfId="0" applyFont="1" applyFill="1" applyBorder="1" applyAlignment="1">
      <alignment horizontal="right" vertical="center" readingOrder="2"/>
    </xf>
    <xf numFmtId="0" fontId="93" fillId="20" borderId="1" xfId="0" applyFont="1" applyFill="1" applyBorder="1" applyAlignment="1">
      <alignment horizontal="right" vertical="center" wrapText="1" readingOrder="2"/>
    </xf>
    <xf numFmtId="164" fontId="93" fillId="20" borderId="1" xfId="1" applyNumberFormat="1" applyFont="1" applyFill="1" applyBorder="1" applyAlignment="1">
      <alignment horizontal="center" vertical="center" readingOrder="2"/>
    </xf>
    <xf numFmtId="0" fontId="93" fillId="20" borderId="1" xfId="0" applyFont="1" applyFill="1" applyBorder="1" applyAlignment="1">
      <alignment horizontal="center" vertical="center" readingOrder="2"/>
    </xf>
    <xf numFmtId="0" fontId="81" fillId="20" borderId="2" xfId="0" applyFont="1" applyFill="1" applyBorder="1" applyAlignment="1">
      <alignment horizontal="right" vertical="center" wrapText="1" readingOrder="2"/>
    </xf>
    <xf numFmtId="0" fontId="93" fillId="20" borderId="2" xfId="0" applyFont="1" applyFill="1" applyBorder="1" applyAlignment="1">
      <alignment horizontal="center" vertical="center" wrapText="1" readingOrder="2"/>
    </xf>
    <xf numFmtId="0" fontId="93" fillId="20" borderId="2" xfId="0" applyFont="1" applyFill="1" applyBorder="1" applyAlignment="1">
      <alignment horizontal="right" vertical="center" readingOrder="2"/>
    </xf>
    <xf numFmtId="164" fontId="93" fillId="20" borderId="2" xfId="1" applyNumberFormat="1" applyFont="1" applyFill="1" applyBorder="1" applyAlignment="1">
      <alignment horizontal="right" vertical="center" readingOrder="2"/>
    </xf>
    <xf numFmtId="0" fontId="93" fillId="20" borderId="23" xfId="0" applyFont="1" applyFill="1" applyBorder="1" applyAlignment="1">
      <alignment horizontal="right" vertical="center" readingOrder="2"/>
    </xf>
    <xf numFmtId="0" fontId="93" fillId="20" borderId="2" xfId="0" applyFont="1" applyFill="1" applyBorder="1" applyAlignment="1">
      <alignment horizontal="right" vertical="center" wrapText="1" readingOrder="2"/>
    </xf>
    <xf numFmtId="164" fontId="93" fillId="20" borderId="2" xfId="1" applyNumberFormat="1" applyFont="1" applyFill="1" applyBorder="1" applyAlignment="1">
      <alignment horizontal="center" vertical="center" readingOrder="2"/>
    </xf>
    <xf numFmtId="0" fontId="93" fillId="20" borderId="2" xfId="0" applyFont="1" applyFill="1" applyBorder="1" applyAlignment="1">
      <alignment horizontal="center" vertical="center" readingOrder="2"/>
    </xf>
    <xf numFmtId="0" fontId="102" fillId="31" borderId="1" xfId="0" applyFont="1" applyFill="1" applyBorder="1" applyAlignment="1">
      <alignment horizontal="center" vertical="center" wrapText="1" readingOrder="2"/>
    </xf>
    <xf numFmtId="164" fontId="103" fillId="31" borderId="1" xfId="1" applyNumberFormat="1" applyFont="1" applyFill="1" applyBorder="1" applyAlignment="1">
      <alignment horizontal="center" vertical="center" wrapText="1" readingOrder="2"/>
    </xf>
    <xf numFmtId="164" fontId="103" fillId="31" borderId="1" xfId="1" applyNumberFormat="1" applyFont="1" applyFill="1" applyBorder="1" applyAlignment="1">
      <alignment horizontal="right" vertical="center" readingOrder="2"/>
    </xf>
    <xf numFmtId="164" fontId="104" fillId="31" borderId="1" xfId="1" applyNumberFormat="1" applyFont="1" applyFill="1" applyBorder="1" applyAlignment="1">
      <alignment horizontal="right" vertical="center" readingOrder="2"/>
    </xf>
    <xf numFmtId="0" fontId="20" fillId="11" borderId="2" xfId="0" applyFont="1" applyFill="1" applyBorder="1" applyAlignment="1">
      <alignment horizontal="center" vertical="center"/>
    </xf>
    <xf numFmtId="0" fontId="20" fillId="11" borderId="2" xfId="0" applyFont="1" applyFill="1" applyBorder="1" applyAlignment="1">
      <alignment horizontal="center" vertical="center" wrapText="1"/>
    </xf>
    <xf numFmtId="164" fontId="20" fillId="11" borderId="2" xfId="1" applyNumberFormat="1" applyFont="1" applyFill="1" applyBorder="1" applyAlignment="1">
      <alignment horizontal="center" vertical="center"/>
    </xf>
    <xf numFmtId="0" fontId="20" fillId="11" borderId="8" xfId="0" applyFont="1" applyFill="1" applyBorder="1" applyAlignment="1">
      <alignment horizontal="center" vertical="center"/>
    </xf>
    <xf numFmtId="0" fontId="20" fillId="11" borderId="8" xfId="0" applyFont="1" applyFill="1" applyBorder="1" applyAlignment="1">
      <alignment horizontal="center" vertical="center" wrapText="1"/>
    </xf>
    <xf numFmtId="164" fontId="20" fillId="11" borderId="8" xfId="1" applyNumberFormat="1" applyFont="1" applyFill="1" applyBorder="1" applyAlignment="1">
      <alignment horizontal="center" vertical="center"/>
    </xf>
    <xf numFmtId="0" fontId="20" fillId="11" borderId="13" xfId="0" applyFont="1" applyFill="1" applyBorder="1" applyAlignment="1">
      <alignment horizontal="center" vertical="center"/>
    </xf>
    <xf numFmtId="0" fontId="20" fillId="11" borderId="1" xfId="0" applyFont="1" applyFill="1" applyBorder="1" applyAlignment="1">
      <alignment horizontal="center" vertical="center"/>
    </xf>
    <xf numFmtId="2" fontId="72" fillId="4" borderId="7" xfId="0" applyNumberFormat="1" applyFont="1" applyFill="1" applyBorder="1" applyAlignment="1">
      <alignment horizontal="right" vertical="center" wrapText="1"/>
    </xf>
    <xf numFmtId="2" fontId="74" fillId="4" borderId="5" xfId="0" applyNumberFormat="1" applyFont="1" applyFill="1" applyBorder="1" applyAlignment="1">
      <alignment horizontal="right" vertical="center" wrapText="1"/>
    </xf>
    <xf numFmtId="0" fontId="1" fillId="4" borderId="1" xfId="1" applyNumberFormat="1" applyFont="1" applyFill="1" applyBorder="1" applyAlignment="1">
      <alignment horizontal="center" vertical="center"/>
    </xf>
    <xf numFmtId="164" fontId="1" fillId="4" borderId="1" xfId="1" applyNumberFormat="1" applyFont="1" applyFill="1" applyBorder="1" applyAlignment="1">
      <alignment vertical="center"/>
    </xf>
    <xf numFmtId="1" fontId="1" fillId="4" borderId="1" xfId="1" applyNumberFormat="1" applyFont="1" applyFill="1" applyBorder="1" applyAlignment="1">
      <alignment horizontal="center" vertical="center"/>
    </xf>
    <xf numFmtId="164" fontId="1" fillId="4" borderId="0" xfId="1" applyNumberFormat="1" applyFont="1" applyFill="1" applyAlignment="1">
      <alignment vertical="center"/>
    </xf>
    <xf numFmtId="164" fontId="104" fillId="31" borderId="1" xfId="1" quotePrefix="1" applyNumberFormat="1" applyFont="1" applyFill="1" applyBorder="1" applyAlignment="1">
      <alignment horizontal="right" vertical="center" readingOrder="2"/>
    </xf>
    <xf numFmtId="0" fontId="72" fillId="0" borderId="0" xfId="0" applyFont="1" applyAlignment="1">
      <alignment vertical="center" readingOrder="2"/>
    </xf>
    <xf numFmtId="0" fontId="54" fillId="0" borderId="0" xfId="0" applyFont="1" applyAlignment="1">
      <alignment vertical="center"/>
    </xf>
    <xf numFmtId="0" fontId="105" fillId="20" borderId="13" xfId="0" applyFont="1" applyFill="1" applyBorder="1" applyAlignment="1">
      <alignment horizontal="center" vertical="center"/>
    </xf>
    <xf numFmtId="0" fontId="105" fillId="20" borderId="14" xfId="0" applyFont="1" applyFill="1" applyBorder="1" applyAlignment="1">
      <alignment horizontal="center" vertical="center"/>
    </xf>
    <xf numFmtId="0" fontId="66" fillId="15" borderId="1" xfId="0" applyFont="1" applyFill="1" applyBorder="1" applyAlignment="1">
      <alignment horizontal="center" vertical="center"/>
    </xf>
    <xf numFmtId="0" fontId="66" fillId="15" borderId="1" xfId="0" applyFont="1" applyFill="1" applyBorder="1" applyAlignment="1">
      <alignment horizontal="center" vertical="center" wrapText="1"/>
    </xf>
    <xf numFmtId="0" fontId="105" fillId="20" borderId="23" xfId="0" applyFont="1" applyFill="1" applyBorder="1" applyAlignment="1">
      <alignment horizontal="center" vertical="center"/>
    </xf>
    <xf numFmtId="0" fontId="105" fillId="20" borderId="11" xfId="0" applyFont="1" applyFill="1" applyBorder="1" applyAlignment="1">
      <alignment horizontal="center" vertical="center"/>
    </xf>
    <xf numFmtId="0" fontId="66" fillId="4" borderId="6" xfId="0" applyFont="1" applyFill="1" applyBorder="1" applyAlignment="1">
      <alignment horizontal="center" vertical="center"/>
    </xf>
    <xf numFmtId="0" fontId="66" fillId="4" borderId="6" xfId="0" applyFont="1" applyFill="1" applyBorder="1" applyAlignment="1">
      <alignment horizontal="center" vertical="center" wrapText="1"/>
    </xf>
    <xf numFmtId="1" fontId="65" fillId="4" borderId="2" xfId="0" applyNumberFormat="1" applyFont="1" applyFill="1" applyBorder="1" applyAlignment="1">
      <alignment horizontal="center" vertical="center"/>
    </xf>
    <xf numFmtId="1" fontId="65" fillId="4" borderId="6" xfId="0" applyNumberFormat="1" applyFont="1" applyFill="1" applyBorder="1" applyAlignment="1">
      <alignment horizontal="center" vertical="center"/>
    </xf>
    <xf numFmtId="2" fontId="66" fillId="4" borderId="1" xfId="0" applyNumberFormat="1" applyFont="1" applyFill="1" applyBorder="1" applyAlignment="1">
      <alignment horizontal="center" vertical="center" wrapText="1"/>
    </xf>
    <xf numFmtId="2" fontId="66" fillId="4" borderId="23" xfId="0" applyNumberFormat="1" applyFont="1" applyFill="1" applyBorder="1" applyAlignment="1">
      <alignment horizontal="center" vertical="center" wrapText="1"/>
    </xf>
    <xf numFmtId="2" fontId="66" fillId="8" borderId="13" xfId="0" applyNumberFormat="1" applyFont="1" applyFill="1" applyBorder="1" applyAlignment="1">
      <alignment horizontal="center" vertical="center"/>
    </xf>
    <xf numFmtId="2" fontId="66" fillId="8" borderId="14" xfId="0" applyNumberFormat="1" applyFont="1" applyFill="1" applyBorder="1" applyAlignment="1">
      <alignment horizontal="center" vertical="center"/>
    </xf>
    <xf numFmtId="2" fontId="66" fillId="8" borderId="5" xfId="0" applyNumberFormat="1" applyFont="1" applyFill="1" applyBorder="1" applyAlignment="1">
      <alignment horizontal="center" vertical="center"/>
    </xf>
    <xf numFmtId="0" fontId="66" fillId="4" borderId="0" xfId="0" applyFont="1" applyFill="1" applyBorder="1" applyAlignment="1">
      <alignment horizontal="center" vertical="center"/>
    </xf>
    <xf numFmtId="0" fontId="66" fillId="4" borderId="0" xfId="0" applyFont="1" applyFill="1" applyBorder="1" applyAlignment="1">
      <alignment horizontal="center" vertical="center" wrapText="1"/>
    </xf>
    <xf numFmtId="0" fontId="65" fillId="4" borderId="0" xfId="0" applyFont="1" applyFill="1" applyBorder="1" applyAlignment="1">
      <alignment horizontal="right" vertical="center"/>
    </xf>
    <xf numFmtId="0" fontId="65" fillId="4" borderId="0" xfId="0" applyFont="1" applyFill="1" applyBorder="1" applyAlignment="1">
      <alignment horizontal="center" vertical="center"/>
    </xf>
    <xf numFmtId="0" fontId="65" fillId="4" borderId="0" xfId="0" applyFont="1" applyFill="1" applyBorder="1" applyAlignment="1">
      <alignment vertical="center"/>
    </xf>
    <xf numFmtId="0" fontId="66" fillId="4" borderId="0" xfId="0" applyFont="1" applyFill="1" applyBorder="1" applyAlignment="1">
      <alignment horizontal="right" vertical="center"/>
    </xf>
    <xf numFmtId="0" fontId="66" fillId="0" borderId="0" xfId="0" applyFont="1" applyBorder="1" applyAlignment="1">
      <alignment horizontal="center" vertical="center" wrapText="1"/>
    </xf>
    <xf numFmtId="0" fontId="66" fillId="0" borderId="0" xfId="0" applyFont="1" applyBorder="1" applyAlignment="1">
      <alignment horizontal="right" vertical="center"/>
    </xf>
    <xf numFmtId="0" fontId="65" fillId="0" borderId="0" xfId="0" applyFont="1" applyBorder="1" applyAlignment="1">
      <alignment horizontal="center" vertical="center"/>
    </xf>
    <xf numFmtId="0" fontId="66" fillId="21" borderId="0" xfId="0" applyFont="1" applyFill="1" applyBorder="1" applyAlignment="1">
      <alignment horizontal="center" vertical="center" wrapText="1"/>
    </xf>
    <xf numFmtId="0" fontId="66" fillId="21" borderId="0" xfId="0" applyFont="1" applyFill="1" applyBorder="1" applyAlignment="1">
      <alignment horizontal="right"/>
    </xf>
    <xf numFmtId="0" fontId="65" fillId="0" borderId="0" xfId="0" applyFont="1" applyBorder="1" applyAlignment="1">
      <alignment horizontal="center" vertical="center" wrapText="1"/>
    </xf>
    <xf numFmtId="0" fontId="65" fillId="0" borderId="0" xfId="0" applyFont="1" applyBorder="1" applyAlignment="1">
      <alignment horizontal="right"/>
    </xf>
    <xf numFmtId="0" fontId="106" fillId="0" borderId="1" xfId="0" applyFont="1" applyBorder="1" applyAlignment="1">
      <alignment horizontal="right" vertical="center" wrapText="1" readingOrder="2"/>
    </xf>
    <xf numFmtId="0" fontId="106" fillId="0" borderId="5" xfId="0" applyFont="1" applyBorder="1" applyAlignment="1">
      <alignment horizontal="right" vertical="center" wrapText="1" readingOrder="2"/>
    </xf>
    <xf numFmtId="0" fontId="107" fillId="20" borderId="5" xfId="0" applyFont="1" applyFill="1" applyBorder="1" applyAlignment="1">
      <alignment horizontal="center" vertical="center"/>
    </xf>
    <xf numFmtId="0" fontId="74" fillId="15" borderId="1" xfId="0" applyFont="1" applyFill="1" applyBorder="1" applyAlignment="1">
      <alignment horizontal="right" vertical="center" wrapText="1" readingOrder="2"/>
    </xf>
    <xf numFmtId="0" fontId="74" fillId="15" borderId="1" xfId="0" applyFont="1" applyFill="1" applyBorder="1" applyAlignment="1">
      <alignment horizontal="center" vertical="center" wrapText="1" readingOrder="2"/>
    </xf>
    <xf numFmtId="0" fontId="106" fillId="4" borderId="1" xfId="0" applyFont="1" applyFill="1" applyBorder="1" applyAlignment="1">
      <alignment horizontal="right" vertical="center" wrapText="1" readingOrder="2"/>
    </xf>
    <xf numFmtId="164" fontId="91" fillId="0" borderId="1" xfId="1" applyNumberFormat="1" applyFont="1" applyFill="1" applyBorder="1" applyAlignment="1">
      <alignment horizontal="right" vertical="center" wrapText="1" readingOrder="2"/>
    </xf>
    <xf numFmtId="164" fontId="91" fillId="4" borderId="1" xfId="1" applyNumberFormat="1" applyFont="1" applyFill="1" applyBorder="1" applyAlignment="1">
      <alignment horizontal="right" vertical="center" wrapText="1" readingOrder="2"/>
    </xf>
    <xf numFmtId="0" fontId="106" fillId="4" borderId="5" xfId="0" applyFont="1" applyFill="1" applyBorder="1" applyAlignment="1">
      <alignment horizontal="right" vertical="center" wrapText="1" readingOrder="2"/>
    </xf>
    <xf numFmtId="164" fontId="91" fillId="0" borderId="5" xfId="1" applyNumberFormat="1" applyFont="1" applyFill="1" applyBorder="1" applyAlignment="1">
      <alignment horizontal="right" vertical="center" wrapText="1" readingOrder="2"/>
    </xf>
    <xf numFmtId="164" fontId="91" fillId="0" borderId="12" xfId="1" applyNumberFormat="1" applyFont="1" applyFill="1" applyBorder="1" applyAlignment="1">
      <alignment horizontal="right" vertical="center" wrapText="1" readingOrder="2"/>
    </xf>
    <xf numFmtId="0" fontId="107" fillId="20" borderId="12" xfId="0" applyFont="1" applyFill="1" applyBorder="1" applyAlignment="1">
      <alignment horizontal="center" vertical="center"/>
    </xf>
    <xf numFmtId="2" fontId="72" fillId="4" borderId="5" xfId="0" applyNumberFormat="1" applyFont="1" applyFill="1" applyBorder="1" applyAlignment="1">
      <alignment horizontal="right" vertical="center" wrapText="1"/>
    </xf>
    <xf numFmtId="0" fontId="72" fillId="4" borderId="5" xfId="0" applyFont="1" applyFill="1" applyBorder="1" applyAlignment="1">
      <alignment horizontal="right" vertical="center" wrapText="1"/>
    </xf>
    <xf numFmtId="0" fontId="72" fillId="4" borderId="7" xfId="0" applyFont="1" applyFill="1" applyBorder="1" applyAlignment="1">
      <alignment horizontal="right" vertical="center" wrapText="1"/>
    </xf>
    <xf numFmtId="0" fontId="74" fillId="4" borderId="12" xfId="0" applyFont="1" applyFill="1" applyBorder="1" applyAlignment="1">
      <alignment horizontal="right" vertical="center" wrapText="1"/>
    </xf>
    <xf numFmtId="0" fontId="72" fillId="4" borderId="12" xfId="0" applyFont="1" applyFill="1" applyBorder="1" applyAlignment="1">
      <alignment horizontal="right" vertical="center" wrapText="1"/>
    </xf>
    <xf numFmtId="2" fontId="72" fillId="4" borderId="1" xfId="0" applyNumberFormat="1" applyFont="1" applyFill="1" applyBorder="1" applyAlignment="1">
      <alignment horizontal="right" vertical="center" wrapText="1"/>
    </xf>
    <xf numFmtId="2" fontId="74" fillId="4" borderId="1" xfId="0" applyNumberFormat="1" applyFont="1" applyFill="1" applyBorder="1" applyAlignment="1">
      <alignment horizontal="right" vertical="center" wrapText="1"/>
    </xf>
    <xf numFmtId="0" fontId="91" fillId="4" borderId="5" xfId="0" applyFont="1" applyFill="1" applyBorder="1" applyAlignment="1">
      <alignment horizontal="right" vertical="center"/>
    </xf>
    <xf numFmtId="0" fontId="91" fillId="0" borderId="1" xfId="0" applyFont="1" applyFill="1" applyBorder="1" applyAlignment="1">
      <alignment horizontal="right"/>
    </xf>
    <xf numFmtId="0" fontId="91" fillId="4" borderId="1" xfId="0" applyFont="1" applyFill="1" applyBorder="1" applyAlignment="1">
      <alignment horizontal="right" vertical="center"/>
    </xf>
    <xf numFmtId="0" fontId="74" fillId="7" borderId="1" xfId="0" applyFont="1" applyFill="1" applyBorder="1" applyAlignment="1">
      <alignment horizontal="right" vertical="center" wrapText="1"/>
    </xf>
    <xf numFmtId="0" fontId="106" fillId="4" borderId="1" xfId="0" applyFont="1" applyFill="1" applyBorder="1" applyAlignment="1">
      <alignment horizontal="right" vertical="center" wrapText="1"/>
    </xf>
    <xf numFmtId="0" fontId="74" fillId="4" borderId="0" xfId="0" applyFont="1" applyFill="1" applyBorder="1" applyAlignment="1">
      <alignment horizontal="center" vertical="center"/>
    </xf>
    <xf numFmtId="0" fontId="72" fillId="4" borderId="0" xfId="0" applyFont="1" applyFill="1" applyBorder="1" applyAlignment="1">
      <alignment horizontal="center" vertical="center"/>
    </xf>
    <xf numFmtId="0" fontId="74" fillId="4" borderId="0" xfId="0" applyFont="1" applyFill="1" applyBorder="1" applyAlignment="1">
      <alignment horizontal="right" vertical="center"/>
    </xf>
    <xf numFmtId="0" fontId="72" fillId="0" borderId="0" xfId="0" applyFont="1" applyBorder="1" applyAlignment="1">
      <alignment horizontal="center" vertical="center"/>
    </xf>
    <xf numFmtId="0" fontId="108" fillId="21" borderId="0" xfId="0" applyFont="1" applyFill="1" applyBorder="1" applyAlignment="1">
      <alignment horizontal="center" vertical="center"/>
    </xf>
    <xf numFmtId="0" fontId="98" fillId="0" borderId="0" xfId="0" applyFont="1" applyBorder="1" applyAlignment="1">
      <alignment horizontal="center" vertical="center"/>
    </xf>
    <xf numFmtId="164" fontId="0" fillId="0" borderId="1" xfId="1" applyNumberFormat="1" applyFont="1" applyBorder="1" applyAlignment="1">
      <alignment horizontal="left" vertical="center" wrapText="1" readingOrder="2"/>
    </xf>
    <xf numFmtId="164" fontId="104" fillId="31" borderId="1" xfId="1" applyNumberFormat="1" applyFont="1" applyFill="1" applyBorder="1" applyAlignment="1">
      <alignment horizontal="center" vertical="center" readingOrder="2"/>
    </xf>
    <xf numFmtId="164" fontId="104" fillId="31" borderId="1" xfId="1" quotePrefix="1" applyNumberFormat="1" applyFont="1" applyFill="1" applyBorder="1" applyAlignment="1">
      <alignment horizontal="center" vertical="center" readingOrder="2"/>
    </xf>
    <xf numFmtId="164" fontId="3" fillId="4" borderId="0" xfId="0" applyNumberFormat="1" applyFont="1" applyFill="1" applyBorder="1" applyAlignment="1">
      <alignment horizontal="center" vertical="center"/>
    </xf>
    <xf numFmtId="164" fontId="93" fillId="20" borderId="2" xfId="0" applyNumberFormat="1" applyFont="1" applyFill="1" applyBorder="1" applyAlignment="1">
      <alignment horizontal="center" vertical="center" wrapText="1" readingOrder="2"/>
    </xf>
    <xf numFmtId="43" fontId="18" fillId="0" borderId="1" xfId="0" applyNumberFormat="1" applyFont="1" applyBorder="1" applyAlignment="1">
      <alignment vertical="center"/>
    </xf>
    <xf numFmtId="164" fontId="3" fillId="8" borderId="1" xfId="1" applyNumberFormat="1" applyFont="1" applyFill="1" applyBorder="1" applyAlignment="1">
      <alignment horizontal="center" vertical="center" readingOrder="2"/>
    </xf>
    <xf numFmtId="0" fontId="64" fillId="0" borderId="0" xfId="0" applyFont="1"/>
    <xf numFmtId="0" fontId="64" fillId="0" borderId="0" xfId="0" applyFont="1" applyAlignment="1"/>
    <xf numFmtId="0" fontId="64" fillId="0" borderId="0" xfId="0" applyFont="1" applyAlignment="1">
      <alignment wrapText="1"/>
    </xf>
    <xf numFmtId="0" fontId="64" fillId="24" borderId="0" xfId="0" applyFont="1" applyFill="1"/>
    <xf numFmtId="0" fontId="64" fillId="0" borderId="0" xfId="0" applyFont="1" applyAlignment="1">
      <alignment horizontal="center" vertical="center"/>
    </xf>
    <xf numFmtId="0" fontId="63" fillId="4" borderId="0" xfId="0" applyFont="1" applyFill="1" applyAlignment="1">
      <alignment horizontal="center" vertical="center"/>
    </xf>
    <xf numFmtId="0" fontId="63" fillId="4" borderId="0" xfId="0" applyFont="1" applyFill="1" applyAlignment="1">
      <alignment vertical="center"/>
    </xf>
    <xf numFmtId="164" fontId="77" fillId="4" borderId="1" xfId="1" applyNumberFormat="1" applyFont="1" applyFill="1" applyBorder="1" applyAlignment="1">
      <alignment horizontal="center" vertical="center"/>
    </xf>
    <xf numFmtId="0" fontId="3" fillId="4" borderId="0" xfId="0" applyFont="1" applyFill="1" applyAlignment="1">
      <alignment vertical="center"/>
    </xf>
    <xf numFmtId="0" fontId="63" fillId="0" borderId="0" xfId="0" applyFont="1" applyAlignment="1">
      <alignment horizontal="center" vertical="center"/>
    </xf>
    <xf numFmtId="0" fontId="63" fillId="0" borderId="0" xfId="0" applyFont="1" applyAlignment="1">
      <alignment vertical="center"/>
    </xf>
    <xf numFmtId="0" fontId="64" fillId="4" borderId="0" xfId="0" applyFont="1" applyFill="1" applyAlignment="1">
      <alignment horizontal="center" vertical="center"/>
    </xf>
    <xf numFmtId="0" fontId="64" fillId="4" borderId="0" xfId="0" applyFont="1" applyFill="1" applyAlignment="1">
      <alignment vertical="center"/>
    </xf>
    <xf numFmtId="0" fontId="25" fillId="4" borderId="0" xfId="0" applyFont="1" applyFill="1" applyAlignment="1">
      <alignment horizontal="center" vertical="center"/>
    </xf>
    <xf numFmtId="0" fontId="25" fillId="4" borderId="0" xfId="0" applyFont="1" applyFill="1" applyAlignment="1">
      <alignment vertical="center"/>
    </xf>
    <xf numFmtId="0" fontId="62" fillId="4" borderId="0" xfId="0" applyFont="1" applyFill="1" applyAlignment="1">
      <alignment horizontal="center" vertical="center"/>
    </xf>
    <xf numFmtId="0" fontId="62" fillId="4" borderId="0" xfId="0" applyFont="1" applyFill="1" applyAlignment="1">
      <alignment vertical="center"/>
    </xf>
    <xf numFmtId="0" fontId="64" fillId="4" borderId="0" xfId="0" applyFont="1" applyFill="1"/>
    <xf numFmtId="0" fontId="64" fillId="0" borderId="38" xfId="0" applyFont="1" applyBorder="1" applyAlignment="1"/>
    <xf numFmtId="0" fontId="112" fillId="0" borderId="0" xfId="0" applyFont="1"/>
    <xf numFmtId="0" fontId="18" fillId="0" borderId="0" xfId="0" applyFont="1" applyBorder="1" applyAlignment="1">
      <alignment horizontal="center" vertical="center"/>
    </xf>
    <xf numFmtId="0" fontId="18" fillId="0" borderId="0" xfId="0" applyFont="1" applyBorder="1" applyAlignment="1">
      <alignment vertical="center"/>
    </xf>
    <xf numFmtId="164" fontId="11" fillId="4" borderId="1" xfId="1" applyNumberFormat="1" applyFont="1" applyFill="1" applyBorder="1" applyAlignment="1" applyProtection="1"/>
    <xf numFmtId="164" fontId="11" fillId="4" borderId="1" xfId="1" applyNumberFormat="1" applyFont="1" applyFill="1" applyBorder="1" applyAlignment="1" applyProtection="1">
      <alignment horizontal="right"/>
    </xf>
    <xf numFmtId="164" fontId="85" fillId="4" borderId="1" xfId="1" applyNumberFormat="1" applyFont="1" applyFill="1" applyBorder="1" applyAlignment="1" applyProtection="1"/>
    <xf numFmtId="164" fontId="11" fillId="4" borderId="1" xfId="1" applyNumberFormat="1" applyFont="1" applyFill="1" applyBorder="1" applyAlignment="1" applyProtection="1">
      <alignment vertical="center"/>
    </xf>
    <xf numFmtId="0" fontId="65" fillId="4" borderId="1" xfId="0" applyFont="1" applyFill="1" applyBorder="1" applyAlignment="1">
      <alignment horizontal="right" vertical="center" wrapText="1"/>
    </xf>
    <xf numFmtId="0" fontId="75" fillId="24" borderId="1" xfId="0" applyFont="1" applyFill="1" applyBorder="1" applyAlignment="1">
      <alignment horizontal="center" vertical="center" wrapText="1"/>
    </xf>
    <xf numFmtId="0" fontId="66" fillId="4" borderId="2" xfId="0" applyFont="1" applyFill="1" applyBorder="1" applyAlignment="1">
      <alignment horizontal="center" vertical="center" textRotation="90" wrapText="1"/>
    </xf>
    <xf numFmtId="0" fontId="66" fillId="4" borderId="5" xfId="0" applyFont="1" applyFill="1" applyBorder="1" applyAlignment="1">
      <alignment horizontal="center" vertical="center" textRotation="90" wrapText="1"/>
    </xf>
    <xf numFmtId="0" fontId="65" fillId="4" borderId="1" xfId="0" applyFont="1" applyFill="1" applyBorder="1" applyAlignment="1">
      <alignment horizontal="center" vertical="center" wrapText="1"/>
    </xf>
    <xf numFmtId="0" fontId="65" fillId="4" borderId="10" xfId="0" applyFont="1" applyFill="1" applyBorder="1" applyAlignment="1">
      <alignment horizontal="center" vertical="center"/>
    </xf>
    <xf numFmtId="0" fontId="66" fillId="4" borderId="6" xfId="0" applyFont="1" applyFill="1" applyBorder="1" applyAlignment="1">
      <alignment vertical="center"/>
    </xf>
    <xf numFmtId="0" fontId="65" fillId="4" borderId="1" xfId="0" applyFont="1" applyFill="1" applyBorder="1" applyAlignment="1">
      <alignment horizontal="right" vertical="center"/>
    </xf>
    <xf numFmtId="0" fontId="68" fillId="4" borderId="1" xfId="0" applyFont="1" applyFill="1" applyBorder="1" applyAlignment="1">
      <alignment horizontal="center" vertical="center"/>
    </xf>
    <xf numFmtId="0" fontId="66" fillId="4" borderId="6" xfId="0" applyFont="1" applyFill="1" applyBorder="1" applyAlignment="1">
      <alignment horizontal="center" vertical="center" textRotation="90" wrapText="1"/>
    </xf>
    <xf numFmtId="0" fontId="66" fillId="0" borderId="6" xfId="0" applyFont="1" applyBorder="1" applyAlignment="1">
      <alignment horizontal="center" vertical="center"/>
    </xf>
    <xf numFmtId="0" fontId="65" fillId="0" borderId="10" xfId="0" applyFont="1" applyBorder="1" applyAlignment="1">
      <alignment horizontal="center" vertical="center"/>
    </xf>
    <xf numFmtId="164" fontId="65" fillId="4" borderId="10" xfId="0" applyNumberFormat="1" applyFont="1" applyFill="1" applyBorder="1" applyAlignment="1">
      <alignment horizontal="center" vertical="center"/>
    </xf>
    <xf numFmtId="0" fontId="66" fillId="4" borderId="8" xfId="0" applyFont="1" applyFill="1" applyBorder="1" applyAlignment="1">
      <alignment horizontal="center" vertical="center" textRotation="90" wrapText="1"/>
    </xf>
    <xf numFmtId="0" fontId="66" fillId="4" borderId="58" xfId="0" applyFont="1" applyFill="1" applyBorder="1" applyAlignment="1">
      <alignment horizontal="center" vertical="center"/>
    </xf>
    <xf numFmtId="0" fontId="66" fillId="4" borderId="57" xfId="0" applyFont="1" applyFill="1" applyBorder="1" applyAlignment="1">
      <alignment horizontal="center" vertical="center"/>
    </xf>
    <xf numFmtId="0" fontId="66" fillId="4" borderId="2" xfId="0" applyFont="1" applyFill="1" applyBorder="1" applyAlignment="1">
      <alignment vertical="center"/>
    </xf>
    <xf numFmtId="1" fontId="68" fillId="4" borderId="1" xfId="0" applyNumberFormat="1" applyFont="1" applyFill="1" applyBorder="1" applyAlignment="1">
      <alignment horizontal="center" vertical="center"/>
    </xf>
    <xf numFmtId="0" fontId="66" fillId="4" borderId="5" xfId="0" applyFont="1" applyFill="1" applyBorder="1" applyAlignment="1">
      <alignment horizontal="center" vertical="center"/>
    </xf>
    <xf numFmtId="0" fontId="66" fillId="4" borderId="8" xfId="0" applyFont="1" applyFill="1" applyBorder="1" applyAlignment="1">
      <alignment vertical="center"/>
    </xf>
    <xf numFmtId="0" fontId="66" fillId="4" borderId="61" xfId="0" applyFont="1" applyFill="1" applyBorder="1" applyAlignment="1">
      <alignment horizontal="center" vertical="center"/>
    </xf>
    <xf numFmtId="0" fontId="66" fillId="26" borderId="2" xfId="0" applyFont="1" applyFill="1" applyBorder="1" applyAlignment="1">
      <alignment vertical="center"/>
    </xf>
    <xf numFmtId="0" fontId="66" fillId="26" borderId="6" xfId="0" applyFont="1" applyFill="1" applyBorder="1" applyAlignment="1">
      <alignment vertical="center"/>
    </xf>
    <xf numFmtId="0" fontId="65" fillId="4" borderId="5" xfId="0" applyFont="1" applyFill="1" applyBorder="1" applyAlignment="1">
      <alignment horizontal="right" vertical="center" wrapText="1"/>
    </xf>
    <xf numFmtId="164" fontId="65" fillId="4" borderId="13" xfId="0" applyNumberFormat="1" applyFont="1" applyFill="1" applyBorder="1" applyAlignment="1">
      <alignment horizontal="center" vertical="center"/>
    </xf>
    <xf numFmtId="0" fontId="66" fillId="26" borderId="6" xfId="0" applyFont="1" applyFill="1" applyBorder="1" applyAlignment="1">
      <alignment horizontal="center" vertical="center"/>
    </xf>
    <xf numFmtId="0" fontId="67" fillId="4" borderId="6" xfId="0" applyFont="1" applyFill="1" applyBorder="1" applyAlignment="1">
      <alignment vertical="center"/>
    </xf>
    <xf numFmtId="0" fontId="67" fillId="4" borderId="5" xfId="0" applyFont="1" applyFill="1" applyBorder="1" applyAlignment="1">
      <alignment horizontal="center" vertical="center"/>
    </xf>
    <xf numFmtId="0" fontId="68" fillId="4" borderId="1" xfId="0" applyFont="1" applyFill="1" applyBorder="1" applyAlignment="1">
      <alignment horizontal="center" vertical="center" wrapText="1"/>
    </xf>
    <xf numFmtId="164" fontId="68" fillId="4" borderId="10" xfId="0" applyNumberFormat="1" applyFont="1" applyFill="1" applyBorder="1" applyAlignment="1">
      <alignment horizontal="center" vertical="center"/>
    </xf>
    <xf numFmtId="0" fontId="66" fillId="4" borderId="5" xfId="0" applyFont="1" applyFill="1" applyBorder="1" applyAlignment="1">
      <alignment vertical="center"/>
    </xf>
    <xf numFmtId="164" fontId="65" fillId="4" borderId="1" xfId="1" applyNumberFormat="1" applyFont="1" applyFill="1" applyBorder="1" applyAlignment="1">
      <alignment horizontal="center" vertical="center"/>
    </xf>
    <xf numFmtId="164" fontId="65" fillId="4" borderId="13" xfId="1" applyNumberFormat="1" applyFont="1" applyFill="1" applyBorder="1" applyAlignment="1">
      <alignment horizontal="center" vertical="center"/>
    </xf>
    <xf numFmtId="0" fontId="65" fillId="4" borderId="1" xfId="0" applyFont="1" applyFill="1" applyBorder="1" applyAlignment="1">
      <alignment vertical="center" textRotation="180" wrapText="1"/>
    </xf>
    <xf numFmtId="0" fontId="65" fillId="4" borderId="2" xfId="0" applyFont="1" applyFill="1" applyBorder="1" applyAlignment="1">
      <alignment vertical="center" wrapText="1"/>
    </xf>
    <xf numFmtId="0" fontId="65" fillId="4" borderId="8" xfId="0" applyFont="1" applyFill="1" applyBorder="1" applyAlignment="1">
      <alignment vertical="center" wrapText="1"/>
    </xf>
    <xf numFmtId="0" fontId="66" fillId="4" borderId="9" xfId="0" applyFont="1" applyFill="1" applyBorder="1" applyAlignment="1">
      <alignment horizontal="center" vertical="center"/>
    </xf>
    <xf numFmtId="0" fontId="65" fillId="4" borderId="6" xfId="0" applyFont="1" applyFill="1" applyBorder="1" applyAlignment="1">
      <alignment vertical="center" wrapText="1"/>
    </xf>
    <xf numFmtId="0" fontId="68" fillId="4" borderId="2" xfId="0" applyFont="1" applyFill="1" applyBorder="1" applyAlignment="1">
      <alignment horizontal="right" vertical="center"/>
    </xf>
    <xf numFmtId="0" fontId="65" fillId="4" borderId="5" xfId="0" applyFont="1" applyFill="1" applyBorder="1" applyAlignment="1">
      <alignment horizontal="right" vertical="center"/>
    </xf>
    <xf numFmtId="0" fontId="65" fillId="4" borderId="6" xfId="0" applyFont="1" applyFill="1" applyBorder="1" applyAlignment="1">
      <alignment horizontal="center" vertical="center" wrapText="1"/>
    </xf>
    <xf numFmtId="0" fontId="65" fillId="4" borderId="5" xfId="0" applyFont="1" applyFill="1" applyBorder="1" applyAlignment="1">
      <alignment horizontal="center" vertical="center" wrapText="1"/>
    </xf>
    <xf numFmtId="0" fontId="65" fillId="4" borderId="2" xfId="0" applyFont="1" applyFill="1" applyBorder="1" applyAlignment="1">
      <alignment horizontal="center" vertical="center" wrapText="1"/>
    </xf>
    <xf numFmtId="0" fontId="68" fillId="4" borderId="6" xfId="0" applyFont="1" applyFill="1" applyBorder="1" applyAlignment="1">
      <alignment horizontal="right" vertical="center"/>
    </xf>
    <xf numFmtId="0" fontId="65" fillId="4" borderId="5" xfId="0" applyFont="1" applyFill="1" applyBorder="1" applyAlignment="1">
      <alignment horizontal="center" vertical="center"/>
    </xf>
    <xf numFmtId="0" fontId="65" fillId="4" borderId="8" xfId="0" applyFont="1" applyFill="1" applyBorder="1" applyAlignment="1">
      <alignment horizontal="center" vertical="center" wrapText="1"/>
    </xf>
    <xf numFmtId="0" fontId="66" fillId="4" borderId="8" xfId="0" applyFont="1" applyFill="1" applyBorder="1" applyAlignment="1">
      <alignment vertical="center" wrapText="1"/>
    </xf>
    <xf numFmtId="0" fontId="66" fillId="4" borderId="5" xfId="0" applyFont="1" applyFill="1" applyBorder="1" applyAlignment="1">
      <alignment horizontal="center" vertical="center" wrapText="1"/>
    </xf>
    <xf numFmtId="0" fontId="67" fillId="4" borderId="6" xfId="0" applyFont="1" applyFill="1" applyBorder="1" applyAlignment="1">
      <alignment horizontal="right" vertical="center"/>
    </xf>
    <xf numFmtId="0" fontId="66" fillId="4" borderId="12" xfId="0" applyFont="1" applyFill="1" applyBorder="1" applyAlignment="1">
      <alignment horizontal="center" vertical="center"/>
    </xf>
    <xf numFmtId="0" fontId="66" fillId="4" borderId="12" xfId="0" applyFont="1" applyFill="1" applyBorder="1" applyAlignment="1">
      <alignment horizontal="center" vertical="center" wrapText="1"/>
    </xf>
    <xf numFmtId="164" fontId="65" fillId="4" borderId="59" xfId="0" applyNumberFormat="1" applyFont="1" applyFill="1" applyBorder="1" applyAlignment="1">
      <alignment horizontal="center" vertical="center"/>
    </xf>
    <xf numFmtId="173" fontId="66" fillId="4" borderId="1" xfId="1" applyNumberFormat="1" applyFont="1" applyFill="1" applyBorder="1" applyAlignment="1"/>
    <xf numFmtId="0" fontId="75" fillId="0" borderId="0" xfId="0" applyFont="1" applyBorder="1" applyAlignment="1">
      <alignment vertical="center"/>
    </xf>
    <xf numFmtId="0" fontId="75" fillId="0" borderId="0" xfId="0" applyFont="1" applyAlignment="1">
      <alignment vertical="center"/>
    </xf>
    <xf numFmtId="0" fontId="75" fillId="0" borderId="0" xfId="0" applyFont="1" applyBorder="1" applyAlignment="1">
      <alignment horizontal="center" vertical="center" wrapText="1"/>
    </xf>
    <xf numFmtId="164" fontId="75" fillId="0" borderId="0" xfId="1" applyNumberFormat="1" applyFont="1" applyBorder="1" applyAlignment="1">
      <alignment vertical="center"/>
    </xf>
    <xf numFmtId="166" fontId="75" fillId="0" borderId="0" xfId="1" applyNumberFormat="1" applyFont="1" applyBorder="1" applyAlignment="1">
      <alignment vertical="center"/>
    </xf>
    <xf numFmtId="0" fontId="75" fillId="0" borderId="0" xfId="0" applyFont="1" applyBorder="1" applyAlignment="1">
      <alignment horizontal="center" vertical="center"/>
    </xf>
    <xf numFmtId="0" fontId="75" fillId="0" borderId="0" xfId="0" applyFont="1" applyBorder="1" applyAlignment="1">
      <alignment horizontal="center" vertical="center" wrapText="1" readingOrder="2"/>
    </xf>
    <xf numFmtId="0" fontId="75" fillId="0" borderId="0" xfId="0" applyFont="1" applyBorder="1" applyAlignment="1">
      <alignment horizontal="right" vertical="center" readingOrder="2"/>
    </xf>
    <xf numFmtId="0" fontId="75" fillId="0" borderId="0" xfId="0" applyFont="1" applyBorder="1" applyAlignment="1">
      <alignment vertical="center"/>
    </xf>
    <xf numFmtId="0" fontId="75" fillId="4" borderId="0" xfId="0" applyFont="1" applyFill="1" applyBorder="1" applyAlignment="1">
      <alignment horizontal="center" vertical="center" wrapText="1"/>
    </xf>
    <xf numFmtId="164" fontId="75" fillId="4" borderId="0" xfId="1" applyNumberFormat="1" applyFont="1" applyFill="1" applyBorder="1" applyAlignment="1">
      <alignment vertical="center"/>
    </xf>
    <xf numFmtId="166" fontId="75" fillId="4" borderId="0" xfId="1" applyNumberFormat="1" applyFont="1" applyFill="1" applyBorder="1" applyAlignment="1">
      <alignment vertical="center"/>
    </xf>
    <xf numFmtId="0" fontId="75" fillId="4" borderId="0" xfId="0" applyFont="1" applyFill="1" applyBorder="1" applyAlignment="1">
      <alignment horizontal="center" vertical="center"/>
    </xf>
    <xf numFmtId="0" fontId="75" fillId="4" borderId="0" xfId="0" applyFont="1" applyFill="1" applyBorder="1" applyAlignment="1">
      <alignment vertical="center"/>
    </xf>
    <xf numFmtId="0" fontId="75" fillId="4" borderId="0" xfId="0" applyFont="1" applyFill="1" applyBorder="1" applyAlignment="1">
      <alignment horizontal="center" vertical="center" wrapText="1" readingOrder="2"/>
    </xf>
    <xf numFmtId="0" fontId="75" fillId="4" borderId="0" xfId="0" applyFont="1" applyFill="1" applyBorder="1" applyAlignment="1">
      <alignment horizontal="right" vertical="center" readingOrder="2"/>
    </xf>
    <xf numFmtId="164" fontId="75" fillId="0" borderId="0" xfId="1" applyNumberFormat="1" applyFont="1" applyBorder="1" applyAlignment="1">
      <alignment horizontal="right" vertical="center"/>
    </xf>
    <xf numFmtId="166" fontId="75" fillId="0" borderId="0" xfId="1" applyNumberFormat="1" applyFont="1" applyBorder="1" applyAlignment="1">
      <alignment horizontal="right" vertical="center"/>
    </xf>
    <xf numFmtId="0" fontId="75" fillId="0" borderId="0" xfId="0" applyFont="1" applyBorder="1" applyAlignment="1">
      <alignment horizontal="right" vertical="center"/>
    </xf>
    <xf numFmtId="0" fontId="75" fillId="21" borderId="0" xfId="0" applyFont="1" applyFill="1" applyBorder="1" applyAlignment="1">
      <alignment horizontal="center" vertical="center" wrapText="1"/>
    </xf>
    <xf numFmtId="0" fontId="75" fillId="21" borderId="0" xfId="0" applyFont="1" applyFill="1" applyBorder="1" applyAlignment="1">
      <alignment horizontal="right"/>
    </xf>
    <xf numFmtId="0" fontId="75" fillId="21" borderId="0" xfId="0" applyFont="1" applyFill="1" applyBorder="1" applyAlignment="1">
      <alignment horizontal="center" vertical="center" wrapText="1"/>
    </xf>
    <xf numFmtId="0" fontId="75" fillId="21" borderId="0" xfId="0" applyFont="1" applyFill="1" applyBorder="1" applyAlignment="1">
      <alignment horizontal="center" vertical="center"/>
    </xf>
    <xf numFmtId="164" fontId="75" fillId="21" borderId="0" xfId="1" applyNumberFormat="1" applyFont="1" applyFill="1" applyBorder="1" applyAlignment="1">
      <alignment horizontal="center" vertical="center"/>
    </xf>
    <xf numFmtId="166" fontId="75" fillId="21" borderId="0" xfId="1" applyNumberFormat="1" applyFont="1" applyFill="1" applyBorder="1" applyAlignment="1">
      <alignment horizontal="center" vertical="center"/>
    </xf>
    <xf numFmtId="164" fontId="75" fillId="21" borderId="0" xfId="1" applyNumberFormat="1" applyFont="1" applyFill="1" applyBorder="1" applyAlignment="1">
      <alignment vertical="center"/>
    </xf>
    <xf numFmtId="0" fontId="75" fillId="21" borderId="0" xfId="0" applyFont="1" applyFill="1" applyBorder="1" applyAlignment="1">
      <alignment horizontal="center" vertical="center" readingOrder="1"/>
    </xf>
    <xf numFmtId="0" fontId="75" fillId="0" borderId="0" xfId="0" applyFont="1" applyBorder="1" applyAlignment="1">
      <alignment horizontal="right"/>
    </xf>
    <xf numFmtId="0" fontId="75" fillId="0" borderId="0" xfId="0" applyFont="1" applyBorder="1" applyAlignment="1">
      <alignment horizontal="center" vertical="center" wrapText="1"/>
    </xf>
    <xf numFmtId="164" fontId="75" fillId="0" borderId="0" xfId="1" applyNumberFormat="1" applyFont="1" applyBorder="1" applyAlignment="1">
      <alignment horizontal="center" vertical="center"/>
    </xf>
    <xf numFmtId="166" fontId="75" fillId="0" borderId="0" xfId="1" applyNumberFormat="1" applyFont="1" applyBorder="1" applyAlignment="1">
      <alignment horizontal="center" vertical="center"/>
    </xf>
    <xf numFmtId="164" fontId="75" fillId="0" borderId="0" xfId="1" applyNumberFormat="1" applyFont="1" applyBorder="1" applyAlignment="1">
      <alignment horizontal="right" vertical="center" readingOrder="2"/>
    </xf>
    <xf numFmtId="169" fontId="75" fillId="0" borderId="0" xfId="0" applyNumberFormat="1" applyFont="1" applyBorder="1" applyAlignment="1">
      <alignment horizontal="center" vertical="center"/>
    </xf>
    <xf numFmtId="164" fontId="16" fillId="4" borderId="1" xfId="1" applyNumberFormat="1" applyFont="1" applyFill="1" applyBorder="1" applyAlignment="1">
      <alignment horizontal="center" vertical="center" wrapText="1"/>
    </xf>
    <xf numFmtId="164" fontId="16" fillId="4" borderId="0" xfId="1" applyNumberFormat="1" applyFont="1" applyFill="1" applyAlignment="1">
      <alignment vertical="center"/>
    </xf>
    <xf numFmtId="164" fontId="16" fillId="4" borderId="1" xfId="1" applyNumberFormat="1" applyFont="1" applyFill="1" applyBorder="1" applyAlignment="1">
      <alignment horizontal="center" vertical="center"/>
    </xf>
    <xf numFmtId="164" fontId="16" fillId="0" borderId="1" xfId="1" applyNumberFormat="1" applyFont="1" applyBorder="1" applyAlignment="1">
      <alignment horizontal="center" vertical="center"/>
    </xf>
    <xf numFmtId="164" fontId="16" fillId="4" borderId="2" xfId="1" applyNumberFormat="1" applyFont="1" applyFill="1" applyBorder="1" applyAlignment="1">
      <alignment horizontal="center" vertical="center"/>
    </xf>
    <xf numFmtId="164" fontId="13" fillId="4" borderId="1" xfId="1" applyNumberFormat="1" applyFont="1" applyFill="1" applyBorder="1" applyAlignment="1"/>
    <xf numFmtId="173" fontId="13" fillId="4" borderId="1" xfId="1" applyNumberFormat="1" applyFont="1" applyFill="1" applyBorder="1" applyAlignment="1"/>
    <xf numFmtId="164" fontId="113" fillId="0" borderId="1" xfId="3" applyNumberFormat="1" applyFont="1" applyFill="1" applyBorder="1" applyAlignment="1" applyProtection="1">
      <alignment horizontal="center"/>
      <protection locked="0"/>
    </xf>
    <xf numFmtId="0" fontId="113" fillId="0" borderId="1" xfId="3" applyFont="1" applyFill="1" applyBorder="1" applyAlignment="1" applyProtection="1">
      <alignment horizontal="center"/>
      <protection locked="0"/>
    </xf>
    <xf numFmtId="164" fontId="89" fillId="0" borderId="1" xfId="3" applyNumberFormat="1" applyFont="1" applyFill="1" applyBorder="1" applyAlignment="1" applyProtection="1">
      <alignment vertical="center"/>
      <protection locked="0"/>
    </xf>
    <xf numFmtId="0" fontId="89" fillId="0" borderId="1" xfId="3" applyFont="1" applyFill="1" applyBorder="1" applyAlignment="1" applyProtection="1">
      <alignment vertical="center"/>
      <protection locked="0"/>
    </xf>
    <xf numFmtId="164" fontId="67" fillId="0" borderId="1" xfId="3" applyNumberFormat="1" applyFont="1" applyFill="1" applyBorder="1" applyAlignment="1" applyProtection="1">
      <alignment horizontal="center"/>
      <protection locked="0"/>
    </xf>
    <xf numFmtId="0" fontId="67" fillId="0" borderId="1" xfId="3" applyFont="1" applyFill="1" applyBorder="1" applyAlignment="1" applyProtection="1">
      <alignment horizontal="center"/>
      <protection locked="0"/>
    </xf>
    <xf numFmtId="164" fontId="68" fillId="0" borderId="1" xfId="3" applyNumberFormat="1" applyFont="1" applyFill="1" applyBorder="1" applyAlignment="1" applyProtection="1">
      <alignment horizontal="right" wrapText="1"/>
      <protection locked="0"/>
    </xf>
    <xf numFmtId="167" fontId="115" fillId="0" borderId="1" xfId="3" applyNumberFormat="1" applyFont="1" applyBorder="1" applyAlignment="1">
      <alignment horizontal="center"/>
    </xf>
    <xf numFmtId="164" fontId="68" fillId="0" borderId="1" xfId="3" applyNumberFormat="1" applyFont="1" applyFill="1" applyBorder="1" applyAlignment="1" applyProtection="1">
      <alignment horizontal="left"/>
      <protection locked="0"/>
    </xf>
    <xf numFmtId="0" fontId="68" fillId="0" borderId="1" xfId="3" applyFont="1" applyFill="1" applyBorder="1" applyAlignment="1" applyProtection="1">
      <protection locked="0"/>
    </xf>
    <xf numFmtId="164" fontId="68" fillId="0" borderId="1" xfId="3" applyNumberFormat="1" applyFont="1" applyFill="1" applyBorder="1" applyAlignment="1" applyProtection="1">
      <alignment horizontal="center" vertical="center"/>
      <protection locked="0"/>
    </xf>
    <xf numFmtId="0" fontId="68" fillId="0" borderId="1" xfId="3" applyFont="1" applyFill="1" applyBorder="1" applyAlignment="1" applyProtection="1">
      <alignment horizontal="center" vertical="center"/>
      <protection locked="0"/>
    </xf>
    <xf numFmtId="3" fontId="11" fillId="0" borderId="1" xfId="3" applyNumberFormat="1" applyFont="1" applyFill="1" applyBorder="1" applyAlignment="1" applyProtection="1">
      <protection locked="0"/>
    </xf>
    <xf numFmtId="164" fontId="11" fillId="0" borderId="1" xfId="3" applyNumberFormat="1" applyFont="1" applyFill="1" applyBorder="1" applyAlignment="1" applyProtection="1">
      <protection locked="0"/>
    </xf>
    <xf numFmtId="0" fontId="11" fillId="0" borderId="1" xfId="3" applyFont="1" applyFill="1" applyBorder="1" applyAlignment="1" applyProtection="1">
      <alignment vertical="center"/>
      <protection locked="0"/>
    </xf>
    <xf numFmtId="164" fontId="11" fillId="0" borderId="1" xfId="3" applyNumberFormat="1" applyFont="1" applyFill="1" applyBorder="1" applyAlignment="1" applyProtection="1">
      <alignment horizontal="right" vertical="center"/>
      <protection locked="0"/>
    </xf>
    <xf numFmtId="164" fontId="11" fillId="0" borderId="1" xfId="3" applyNumberFormat="1" applyFont="1" applyFill="1" applyBorder="1" applyAlignment="1" applyProtection="1">
      <alignment vertical="center"/>
      <protection locked="0"/>
    </xf>
    <xf numFmtId="164" fontId="12" fillId="18" borderId="1" xfId="3" applyNumberFormat="1" applyFont="1" applyFill="1" applyBorder="1" applyAlignment="1" applyProtection="1">
      <alignment horizontal="center"/>
      <protection locked="0"/>
    </xf>
    <xf numFmtId="0" fontId="12" fillId="18" borderId="1" xfId="3" applyFont="1" applyFill="1" applyBorder="1" applyAlignment="1" applyProtection="1">
      <alignment horizontal="center"/>
    </xf>
    <xf numFmtId="0" fontId="12" fillId="18" borderId="1" xfId="3" applyFont="1" applyFill="1" applyBorder="1" applyAlignment="1" applyProtection="1">
      <alignment horizontal="center"/>
      <protection locked="0"/>
    </xf>
    <xf numFmtId="164" fontId="11" fillId="0" borderId="1" xfId="1" applyNumberFormat="1" applyFont="1" applyFill="1" applyBorder="1" applyAlignment="1" applyProtection="1">
      <alignment horizontal="right"/>
    </xf>
    <xf numFmtId="164" fontId="11" fillId="0" borderId="1" xfId="3" applyNumberFormat="1" applyFont="1" applyFill="1" applyBorder="1" applyAlignment="1" applyProtection="1">
      <alignment horizontal="right"/>
    </xf>
    <xf numFmtId="3" fontId="11" fillId="0" borderId="1" xfId="3" applyNumberFormat="1" applyFont="1" applyFill="1" applyBorder="1" applyAlignment="1" applyProtection="1">
      <alignment horizontal="right"/>
    </xf>
    <xf numFmtId="0" fontId="12" fillId="0" borderId="1" xfId="3" applyNumberFormat="1" applyFont="1" applyFill="1" applyBorder="1" applyAlignment="1" applyProtection="1">
      <alignment horizontal="right"/>
    </xf>
    <xf numFmtId="3" fontId="12" fillId="0" borderId="1" xfId="3" applyNumberFormat="1" applyFont="1" applyFill="1" applyBorder="1" applyAlignment="1" applyProtection="1">
      <alignment horizontal="right"/>
    </xf>
    <xf numFmtId="164" fontId="11" fillId="0" borderId="1" xfId="2" applyNumberFormat="1" applyFont="1" applyFill="1" applyBorder="1" applyAlignment="1" applyProtection="1">
      <alignment horizontal="right"/>
    </xf>
    <xf numFmtId="164" fontId="116" fillId="19" borderId="1" xfId="2" applyNumberFormat="1" applyFont="1" applyFill="1" applyBorder="1" applyAlignment="1" applyProtection="1">
      <alignment horizontal="right"/>
    </xf>
    <xf numFmtId="0" fontId="12" fillId="4" borderId="1" xfId="3" applyFont="1" applyFill="1" applyBorder="1" applyAlignment="1" applyProtection="1">
      <alignment horizontal="right" vertical="center" wrapText="1"/>
      <protection locked="0"/>
    </xf>
    <xf numFmtId="0" fontId="0" fillId="4" borderId="0" xfId="0" applyFill="1" applyAlignment="1">
      <alignment vertical="center"/>
    </xf>
    <xf numFmtId="0" fontId="72" fillId="0" borderId="0" xfId="0" applyFont="1"/>
    <xf numFmtId="0" fontId="75" fillId="21" borderId="0" xfId="0" applyFont="1" applyFill="1" applyBorder="1" applyAlignment="1">
      <alignment vertical="center" readingOrder="1"/>
    </xf>
    <xf numFmtId="0" fontId="117" fillId="4" borderId="0" xfId="0" applyFont="1" applyFill="1" applyAlignment="1">
      <alignment readingOrder="2"/>
    </xf>
    <xf numFmtId="0" fontId="65" fillId="4" borderId="1" xfId="10" applyFont="1" applyFill="1" applyBorder="1" applyAlignment="1">
      <alignment horizontal="center" vertical="center" readingOrder="2"/>
    </xf>
    <xf numFmtId="0" fontId="18" fillId="4" borderId="1" xfId="10" applyFont="1" applyFill="1" applyBorder="1" applyAlignment="1">
      <alignment horizontal="center" vertical="center" readingOrder="2"/>
    </xf>
    <xf numFmtId="43" fontId="18" fillId="4" borderId="1" xfId="10" applyNumberFormat="1" applyFont="1" applyFill="1" applyBorder="1" applyAlignment="1">
      <alignment horizontal="center" vertical="center" readingOrder="2"/>
    </xf>
    <xf numFmtId="164" fontId="13" fillId="4" borderId="13" xfId="1" applyNumberFormat="1" applyFont="1" applyFill="1" applyBorder="1" applyAlignment="1">
      <alignment horizontal="center" vertical="center" wrapText="1" readingOrder="2"/>
    </xf>
    <xf numFmtId="164" fontId="20" fillId="29" borderId="13" xfId="1" applyNumberFormat="1" applyFont="1" applyFill="1" applyBorder="1" applyAlignment="1">
      <alignment horizontal="center" vertical="center" wrapText="1" readingOrder="2"/>
    </xf>
    <xf numFmtId="0" fontId="74" fillId="0" borderId="16" xfId="0" applyFont="1" applyBorder="1" applyAlignment="1">
      <alignment horizontal="right" readingOrder="2"/>
    </xf>
    <xf numFmtId="0" fontId="97" fillId="30" borderId="13" xfId="0" applyFont="1" applyFill="1" applyBorder="1" applyAlignment="1">
      <alignment horizontal="right" vertical="center" wrapText="1" readingOrder="2"/>
    </xf>
    <xf numFmtId="0" fontId="97" fillId="30" borderId="14" xfId="0" applyFont="1" applyFill="1" applyBorder="1" applyAlignment="1">
      <alignment horizontal="right" vertical="center" wrapText="1" readingOrder="2"/>
    </xf>
    <xf numFmtId="0" fontId="97" fillId="30" borderId="5" xfId="0" applyFont="1" applyFill="1" applyBorder="1" applyAlignment="1">
      <alignment horizontal="right" vertical="center" wrapText="1" readingOrder="2"/>
    </xf>
    <xf numFmtId="0" fontId="97" fillId="30" borderId="41" xfId="10" applyFont="1" applyFill="1" applyBorder="1" applyAlignment="1">
      <alignment horizontal="right" vertical="center" wrapText="1" readingOrder="2"/>
    </xf>
    <xf numFmtId="0" fontId="97" fillId="30" borderId="16" xfId="10" applyFont="1" applyFill="1" applyBorder="1" applyAlignment="1">
      <alignment horizontal="right" vertical="center" wrapText="1" readingOrder="2"/>
    </xf>
    <xf numFmtId="0" fontId="72" fillId="0" borderId="23" xfId="0" applyFont="1" applyBorder="1" applyAlignment="1">
      <alignment horizontal="center" vertical="center" wrapText="1" readingOrder="2"/>
    </xf>
    <xf numFmtId="0" fontId="72" fillId="0" borderId="24" xfId="0" applyFont="1" applyBorder="1" applyAlignment="1">
      <alignment horizontal="center" vertical="center" wrapText="1" readingOrder="2"/>
    </xf>
    <xf numFmtId="0" fontId="72" fillId="0" borderId="22" xfId="0" applyFont="1" applyBorder="1" applyAlignment="1">
      <alignment horizontal="center" vertical="center" wrapText="1" readingOrder="2"/>
    </xf>
    <xf numFmtId="0" fontId="72" fillId="0" borderId="1" xfId="0" applyFont="1" applyBorder="1" applyAlignment="1">
      <alignment horizontal="center" vertical="center" wrapText="1" readingOrder="2"/>
    </xf>
    <xf numFmtId="0" fontId="75" fillId="29" borderId="13" xfId="0" applyFont="1" applyFill="1" applyBorder="1" applyAlignment="1">
      <alignment horizontal="right" vertical="center" readingOrder="2"/>
    </xf>
    <xf numFmtId="0" fontId="75" fillId="29" borderId="14" xfId="0" applyFont="1" applyFill="1" applyBorder="1" applyAlignment="1">
      <alignment horizontal="right" vertical="center" readingOrder="2"/>
    </xf>
    <xf numFmtId="0" fontId="75" fillId="29" borderId="5" xfId="0" applyFont="1" applyFill="1" applyBorder="1" applyAlignment="1">
      <alignment horizontal="right" vertical="center" readingOrder="2"/>
    </xf>
    <xf numFmtId="0" fontId="16" fillId="0" borderId="0" xfId="0" applyFont="1" applyBorder="1" applyAlignment="1">
      <alignment horizontal="right"/>
    </xf>
    <xf numFmtId="0" fontId="2" fillId="4" borderId="13" xfId="0" applyFont="1" applyFill="1" applyBorder="1" applyAlignment="1">
      <alignment horizontal="right" readingOrder="2"/>
    </xf>
    <xf numFmtId="0" fontId="2" fillId="4" borderId="14" xfId="0" applyFont="1" applyFill="1" applyBorder="1" applyAlignment="1">
      <alignment horizontal="right" readingOrder="2"/>
    </xf>
    <xf numFmtId="0" fontId="2" fillId="4" borderId="5" xfId="0" applyFont="1" applyFill="1" applyBorder="1" applyAlignment="1">
      <alignment horizontal="right" readingOrder="2"/>
    </xf>
    <xf numFmtId="164" fontId="0" fillId="4" borderId="13" xfId="1" applyNumberFormat="1" applyFont="1" applyFill="1" applyBorder="1" applyAlignment="1">
      <alignment horizontal="center"/>
    </xf>
    <xf numFmtId="164" fontId="0" fillId="4" borderId="14" xfId="1" applyNumberFormat="1" applyFont="1" applyFill="1" applyBorder="1" applyAlignment="1">
      <alignment horizontal="center"/>
    </xf>
    <xf numFmtId="164" fontId="0" fillId="4" borderId="5" xfId="1" applyNumberFormat="1" applyFont="1" applyFill="1" applyBorder="1" applyAlignment="1">
      <alignment horizontal="center"/>
    </xf>
    <xf numFmtId="164" fontId="16" fillId="4" borderId="13" xfId="1" applyNumberFormat="1" applyFont="1" applyFill="1" applyBorder="1" applyAlignment="1">
      <alignment horizontal="center"/>
    </xf>
    <xf numFmtId="164" fontId="16" fillId="4" borderId="14" xfId="1" applyNumberFormat="1" applyFont="1" applyFill="1" applyBorder="1" applyAlignment="1">
      <alignment horizontal="center"/>
    </xf>
    <xf numFmtId="164" fontId="16" fillId="4" borderId="5" xfId="1" applyNumberFormat="1" applyFont="1" applyFill="1" applyBorder="1" applyAlignment="1">
      <alignment horizontal="center"/>
    </xf>
    <xf numFmtId="164" fontId="16" fillId="4" borderId="13" xfId="1" applyNumberFormat="1" applyFont="1" applyFill="1" applyBorder="1" applyAlignment="1">
      <alignment horizontal="center" vertical="center"/>
    </xf>
    <xf numFmtId="164" fontId="16" fillId="4" borderId="14" xfId="1" applyNumberFormat="1" applyFont="1" applyFill="1" applyBorder="1" applyAlignment="1">
      <alignment horizontal="center" vertical="center"/>
    </xf>
    <xf numFmtId="164" fontId="16" fillId="4" borderId="5" xfId="1" applyNumberFormat="1" applyFont="1" applyFill="1" applyBorder="1" applyAlignment="1">
      <alignment horizontal="center" vertical="center"/>
    </xf>
    <xf numFmtId="0" fontId="2" fillId="4" borderId="1" xfId="0" applyFont="1" applyFill="1" applyBorder="1" applyAlignment="1">
      <alignment horizontal="right"/>
    </xf>
    <xf numFmtId="0" fontId="2" fillId="6" borderId="1" xfId="0" applyFont="1" applyFill="1" applyBorder="1" applyAlignment="1">
      <alignment horizontal="center" wrapText="1"/>
    </xf>
    <xf numFmtId="0" fontId="0" fillId="0" borderId="13" xfId="0" applyBorder="1" applyAlignment="1">
      <alignment horizontal="right"/>
    </xf>
    <xf numFmtId="0" fontId="0" fillId="0" borderId="14" xfId="0" applyBorder="1" applyAlignment="1">
      <alignment horizontal="right"/>
    </xf>
    <xf numFmtId="0" fontId="0" fillId="0" borderId="5" xfId="0" applyBorder="1" applyAlignment="1">
      <alignment horizontal="right"/>
    </xf>
    <xf numFmtId="0" fontId="0" fillId="6" borderId="1" xfId="0" applyFill="1" applyBorder="1" applyAlignment="1">
      <alignment horizontal="center"/>
    </xf>
    <xf numFmtId="0" fontId="16" fillId="4" borderId="11" xfId="0" applyFont="1" applyFill="1" applyBorder="1" applyAlignment="1">
      <alignment horizontal="right"/>
    </xf>
    <xf numFmtId="0" fontId="16" fillId="4" borderId="11" xfId="0" applyFont="1" applyFill="1" applyBorder="1" applyAlignment="1">
      <alignment horizontal="right" vertical="center"/>
    </xf>
    <xf numFmtId="0" fontId="2" fillId="27" borderId="13" xfId="0" applyFont="1" applyFill="1" applyBorder="1" applyAlignment="1">
      <alignment horizontal="right" readingOrder="2"/>
    </xf>
    <xf numFmtId="0" fontId="2" fillId="27" borderId="14" xfId="0" applyFont="1" applyFill="1" applyBorder="1" applyAlignment="1">
      <alignment horizontal="right" readingOrder="2"/>
    </xf>
    <xf numFmtId="0" fontId="2" fillId="27" borderId="5" xfId="0" applyFont="1" applyFill="1" applyBorder="1" applyAlignment="1">
      <alignment horizontal="right" readingOrder="2"/>
    </xf>
    <xf numFmtId="0" fontId="0" fillId="0" borderId="13" xfId="0" applyFont="1" applyBorder="1" applyAlignment="1">
      <alignment horizontal="right"/>
    </xf>
    <xf numFmtId="0" fontId="0" fillId="0" borderId="14" xfId="0" applyFont="1" applyBorder="1" applyAlignment="1">
      <alignment horizontal="right"/>
    </xf>
    <xf numFmtId="0" fontId="0" fillId="0" borderId="5" xfId="0" applyFont="1" applyBorder="1" applyAlignment="1">
      <alignment horizontal="right"/>
    </xf>
    <xf numFmtId="0" fontId="44" fillId="0" borderId="0" xfId="0" applyFont="1" applyFill="1" applyBorder="1" applyAlignment="1">
      <alignment horizontal="center" vertical="center"/>
    </xf>
    <xf numFmtId="164" fontId="16" fillId="0" borderId="13" xfId="1" applyNumberFormat="1" applyFont="1" applyBorder="1" applyAlignment="1">
      <alignment horizontal="center"/>
    </xf>
    <xf numFmtId="164" fontId="16" fillId="0" borderId="14" xfId="1" applyNumberFormat="1" applyFont="1" applyBorder="1" applyAlignment="1">
      <alignment horizontal="center"/>
    </xf>
    <xf numFmtId="164" fontId="16" fillId="0" borderId="5" xfId="1" applyNumberFormat="1" applyFont="1" applyBorder="1" applyAlignment="1">
      <alignment horizontal="center"/>
    </xf>
    <xf numFmtId="164" fontId="16" fillId="0" borderId="13" xfId="1" applyNumberFormat="1" applyFont="1" applyBorder="1" applyAlignment="1">
      <alignment horizontal="center" vertical="center"/>
    </xf>
    <xf numFmtId="164" fontId="16" fillId="0" borderId="14" xfId="1" applyNumberFormat="1" applyFont="1" applyBorder="1" applyAlignment="1">
      <alignment horizontal="center" vertical="center"/>
    </xf>
    <xf numFmtId="164" fontId="16" fillId="0" borderId="5" xfId="1" applyNumberFormat="1" applyFont="1" applyBorder="1" applyAlignment="1">
      <alignment horizontal="center" vertical="center"/>
    </xf>
    <xf numFmtId="164" fontId="16" fillId="0" borderId="0" xfId="1" applyNumberFormat="1" applyFont="1" applyBorder="1" applyAlignment="1">
      <alignment horizontal="center"/>
    </xf>
    <xf numFmtId="0" fontId="33" fillId="0" borderId="0" xfId="0" applyFont="1" applyFill="1" applyBorder="1" applyAlignment="1">
      <alignment horizontal="center"/>
    </xf>
    <xf numFmtId="0" fontId="16" fillId="0" borderId="0" xfId="0" applyFont="1" applyBorder="1" applyAlignment="1">
      <alignment horizontal="center"/>
    </xf>
    <xf numFmtId="164" fontId="3" fillId="0" borderId="0" xfId="1" applyNumberFormat="1" applyFont="1" applyAlignment="1">
      <alignment horizontal="center"/>
    </xf>
    <xf numFmtId="0" fontId="13" fillId="0" borderId="0" xfId="0" applyFont="1" applyBorder="1" applyAlignment="1">
      <alignment horizontal="center"/>
    </xf>
    <xf numFmtId="0" fontId="43" fillId="0" borderId="0" xfId="0" applyFont="1" applyFill="1" applyBorder="1" applyAlignment="1">
      <alignment horizontal="center"/>
    </xf>
    <xf numFmtId="0" fontId="13" fillId="0" borderId="0" xfId="0" applyFont="1" applyBorder="1" applyAlignment="1">
      <alignment horizontal="center" vertical="center"/>
    </xf>
    <xf numFmtId="0" fontId="2" fillId="7" borderId="13" xfId="0" applyFont="1" applyFill="1" applyBorder="1" applyAlignment="1">
      <alignment horizontal="right" readingOrder="2"/>
    </xf>
    <xf numFmtId="0" fontId="2" fillId="7" borderId="14" xfId="0" applyFont="1" applyFill="1" applyBorder="1" applyAlignment="1">
      <alignment horizontal="right" readingOrder="2"/>
    </xf>
    <xf numFmtId="0" fontId="2" fillId="7" borderId="5" xfId="0" applyFont="1" applyFill="1" applyBorder="1" applyAlignment="1">
      <alignment horizontal="right" readingOrder="2"/>
    </xf>
    <xf numFmtId="0" fontId="0" fillId="0" borderId="1" xfId="0" applyBorder="1" applyAlignment="1">
      <alignment horizontal="right"/>
    </xf>
    <xf numFmtId="41" fontId="43" fillId="20" borderId="1" xfId="0" applyNumberFormat="1" applyFont="1" applyFill="1" applyBorder="1" applyAlignment="1">
      <alignment horizontal="center" vertical="center"/>
    </xf>
    <xf numFmtId="41" fontId="43" fillId="6" borderId="1" xfId="0" applyNumberFormat="1" applyFont="1" applyFill="1" applyBorder="1" applyAlignment="1">
      <alignment horizontal="center" vertical="center"/>
    </xf>
    <xf numFmtId="0" fontId="70" fillId="0" borderId="1" xfId="0" applyFont="1" applyBorder="1" applyAlignment="1">
      <alignment horizontal="center"/>
    </xf>
    <xf numFmtId="0" fontId="69" fillId="0" borderId="1" xfId="0" applyFont="1" applyBorder="1"/>
    <xf numFmtId="0" fontId="0" fillId="0" borderId="1" xfId="0" applyBorder="1"/>
    <xf numFmtId="0" fontId="70" fillId="3" borderId="1" xfId="0" applyFont="1" applyFill="1" applyBorder="1" applyAlignment="1">
      <alignment horizontal="center"/>
    </xf>
    <xf numFmtId="0" fontId="2" fillId="4" borderId="1" xfId="0" applyFont="1" applyFill="1" applyBorder="1" applyAlignment="1">
      <alignment horizontal="right" vertical="center"/>
    </xf>
    <xf numFmtId="0" fontId="16" fillId="0" borderId="11" xfId="0" applyFont="1" applyBorder="1" applyAlignment="1">
      <alignment horizontal="right" vertical="center"/>
    </xf>
    <xf numFmtId="0" fontId="2" fillId="0" borderId="0" xfId="0" applyFont="1" applyAlignment="1">
      <alignment horizontal="right" readingOrder="2"/>
    </xf>
    <xf numFmtId="0" fontId="2" fillId="6" borderId="1" xfId="0" applyFont="1" applyFill="1" applyBorder="1" applyAlignment="1">
      <alignment horizontal="right" readingOrder="2"/>
    </xf>
    <xf numFmtId="164" fontId="16" fillId="11" borderId="13" xfId="1" applyNumberFormat="1" applyFont="1" applyFill="1" applyBorder="1" applyAlignment="1">
      <alignment horizontal="center"/>
    </xf>
    <xf numFmtId="164" fontId="16" fillId="11" borderId="14" xfId="1" applyNumberFormat="1" applyFont="1" applyFill="1" applyBorder="1" applyAlignment="1">
      <alignment horizontal="center"/>
    </xf>
    <xf numFmtId="164" fontId="16" fillId="11" borderId="5" xfId="1" applyNumberFormat="1" applyFont="1" applyFill="1" applyBorder="1" applyAlignment="1">
      <alignment horizontal="center"/>
    </xf>
    <xf numFmtId="0" fontId="2" fillId="3" borderId="13" xfId="0" applyFont="1" applyFill="1" applyBorder="1" applyAlignment="1">
      <alignment horizontal="right" readingOrder="2"/>
    </xf>
    <xf numFmtId="0" fontId="2" fillId="3" borderId="14" xfId="0" applyFont="1" applyFill="1" applyBorder="1" applyAlignment="1">
      <alignment horizontal="right" readingOrder="2"/>
    </xf>
    <xf numFmtId="0" fontId="2" fillId="3" borderId="5" xfId="0" applyFont="1" applyFill="1" applyBorder="1" applyAlignment="1">
      <alignment horizontal="right" readingOrder="2"/>
    </xf>
    <xf numFmtId="0" fontId="13" fillId="6" borderId="13" xfId="0" applyFont="1" applyFill="1" applyBorder="1" applyAlignment="1">
      <alignment horizontal="center" wrapText="1"/>
    </xf>
    <xf numFmtId="0" fontId="13" fillId="6" borderId="5" xfId="0" applyFont="1" applyFill="1" applyBorder="1" applyAlignment="1">
      <alignment horizontal="center" wrapText="1"/>
    </xf>
    <xf numFmtId="0" fontId="16" fillId="0" borderId="11" xfId="0" applyFont="1" applyBorder="1" applyAlignment="1">
      <alignment horizontal="center" vertical="center"/>
    </xf>
    <xf numFmtId="0" fontId="66" fillId="15" borderId="2" xfId="0" applyFont="1" applyFill="1" applyBorder="1" applyAlignment="1">
      <alignment horizontal="center" vertical="center"/>
    </xf>
    <xf numFmtId="0" fontId="66" fillId="15" borderId="8" xfId="0" applyFont="1" applyFill="1" applyBorder="1" applyAlignment="1">
      <alignment horizontal="center" vertical="center"/>
    </xf>
    <xf numFmtId="0" fontId="3" fillId="15" borderId="2" xfId="0" applyFont="1" applyFill="1" applyBorder="1" applyAlignment="1">
      <alignment horizontal="center" vertical="center" wrapText="1" readingOrder="2"/>
    </xf>
    <xf numFmtId="0" fontId="3" fillId="15" borderId="8" xfId="0" applyFont="1" applyFill="1" applyBorder="1" applyAlignment="1">
      <alignment horizontal="center" vertical="center" wrapText="1" readingOrder="2"/>
    </xf>
    <xf numFmtId="164" fontId="3" fillId="15" borderId="2" xfId="1" applyNumberFormat="1" applyFont="1" applyFill="1" applyBorder="1" applyAlignment="1">
      <alignment horizontal="center" vertical="center" wrapText="1" readingOrder="2"/>
    </xf>
    <xf numFmtId="164" fontId="3" fillId="15" borderId="8" xfId="1" applyNumberFormat="1" applyFont="1" applyFill="1" applyBorder="1" applyAlignment="1">
      <alignment horizontal="center" vertical="center" wrapText="1" readingOrder="2"/>
    </xf>
    <xf numFmtId="164" fontId="3" fillId="15" borderId="2" xfId="1" applyNumberFormat="1" applyFont="1" applyFill="1" applyBorder="1" applyAlignment="1">
      <alignment horizontal="center" vertical="center" readingOrder="2"/>
    </xf>
    <xf numFmtId="164" fontId="3" fillId="15" borderId="8" xfId="1" applyNumberFormat="1" applyFont="1" applyFill="1" applyBorder="1" applyAlignment="1">
      <alignment horizontal="center" vertical="center" readingOrder="2"/>
    </xf>
    <xf numFmtId="0" fontId="79" fillId="15" borderId="2" xfId="0" applyFont="1" applyFill="1" applyBorder="1" applyAlignment="1">
      <alignment horizontal="center" vertical="center" wrapText="1" readingOrder="2"/>
    </xf>
    <xf numFmtId="0" fontId="79" fillId="15" borderId="8" xfId="0" applyFont="1" applyFill="1" applyBorder="1" applyAlignment="1">
      <alignment horizontal="center" vertical="center" wrapText="1" readingOrder="2"/>
    </xf>
    <xf numFmtId="0" fontId="74" fillId="15" borderId="2" xfId="0" applyFont="1" applyFill="1" applyBorder="1" applyAlignment="1">
      <alignment horizontal="center" vertical="center" wrapText="1" readingOrder="2"/>
    </xf>
    <xf numFmtId="0" fontId="74" fillId="15" borderId="8" xfId="0" applyFont="1" applyFill="1" applyBorder="1" applyAlignment="1">
      <alignment horizontal="center" vertical="center" wrapText="1" readingOrder="2"/>
    </xf>
    <xf numFmtId="0" fontId="66" fillId="15" borderId="2" xfId="0" applyFont="1" applyFill="1" applyBorder="1" applyAlignment="1">
      <alignment horizontal="center" vertical="center" wrapText="1"/>
    </xf>
    <xf numFmtId="0" fontId="66" fillId="15" borderId="8" xfId="0" applyFont="1" applyFill="1" applyBorder="1" applyAlignment="1">
      <alignment horizontal="center" vertical="center" wrapText="1"/>
    </xf>
    <xf numFmtId="0" fontId="90" fillId="4" borderId="2" xfId="0" applyFont="1" applyFill="1" applyBorder="1" applyAlignment="1">
      <alignment horizontal="center" vertical="center" wrapText="1"/>
    </xf>
    <xf numFmtId="0" fontId="90" fillId="4" borderId="6" xfId="0" applyFont="1" applyFill="1" applyBorder="1" applyAlignment="1">
      <alignment horizontal="center" vertical="center" wrapText="1"/>
    </xf>
    <xf numFmtId="0" fontId="90" fillId="4" borderId="8" xfId="0" applyFont="1" applyFill="1" applyBorder="1" applyAlignment="1">
      <alignment horizontal="center" vertical="center" wrapText="1"/>
    </xf>
    <xf numFmtId="2" fontId="66" fillId="4" borderId="2" xfId="0" applyNumberFormat="1" applyFont="1" applyFill="1" applyBorder="1" applyAlignment="1">
      <alignment horizontal="center" vertical="center"/>
    </xf>
    <xf numFmtId="2" fontId="66" fillId="4" borderId="6" xfId="0" applyNumberFormat="1" applyFont="1" applyFill="1" applyBorder="1" applyAlignment="1">
      <alignment horizontal="center" vertical="center"/>
    </xf>
    <xf numFmtId="2" fontId="66" fillId="4" borderId="8" xfId="0" applyNumberFormat="1" applyFont="1" applyFill="1" applyBorder="1" applyAlignment="1">
      <alignment horizontal="center" vertical="center"/>
    </xf>
    <xf numFmtId="0" fontId="88" fillId="20" borderId="13" xfId="0" applyFont="1" applyFill="1" applyBorder="1" applyAlignment="1">
      <alignment horizontal="center" vertical="center"/>
    </xf>
    <xf numFmtId="0" fontId="88" fillId="20" borderId="14" xfId="0" applyFont="1" applyFill="1" applyBorder="1" applyAlignment="1">
      <alignment horizontal="center" vertical="center"/>
    </xf>
    <xf numFmtId="0" fontId="88" fillId="20" borderId="5" xfId="0" applyFont="1" applyFill="1" applyBorder="1" applyAlignment="1">
      <alignment horizontal="center" vertical="center"/>
    </xf>
    <xf numFmtId="0" fontId="105" fillId="4" borderId="2" xfId="0" applyFont="1" applyFill="1" applyBorder="1" applyAlignment="1">
      <alignment horizontal="center" vertical="center"/>
    </xf>
    <xf numFmtId="0" fontId="105" fillId="4" borderId="6" xfId="0" applyFont="1" applyFill="1" applyBorder="1" applyAlignment="1">
      <alignment horizontal="center" vertical="center"/>
    </xf>
    <xf numFmtId="0" fontId="105" fillId="4" borderId="8" xfId="0" applyFont="1" applyFill="1" applyBorder="1" applyAlignment="1">
      <alignment horizontal="center" vertical="center"/>
    </xf>
    <xf numFmtId="0" fontId="90" fillId="0" borderId="2" xfId="0" applyFont="1" applyBorder="1" applyAlignment="1">
      <alignment horizontal="center" vertical="center" wrapText="1"/>
    </xf>
    <xf numFmtId="0" fontId="90" fillId="0" borderId="6" xfId="0" applyFont="1" applyBorder="1" applyAlignment="1">
      <alignment horizontal="center" vertical="center" wrapText="1"/>
    </xf>
    <xf numFmtId="0" fontId="90" fillId="0" borderId="8" xfId="0" applyFont="1" applyBorder="1" applyAlignment="1">
      <alignment horizontal="center" vertical="center" wrapText="1"/>
    </xf>
    <xf numFmtId="0" fontId="101" fillId="30" borderId="56" xfId="10" applyFont="1" applyFill="1" applyBorder="1" applyAlignment="1">
      <alignment horizontal="right" vertical="center" wrapText="1" readingOrder="2"/>
    </xf>
    <xf numFmtId="0" fontId="101" fillId="30" borderId="14" xfId="10" applyFont="1" applyFill="1" applyBorder="1" applyAlignment="1">
      <alignment horizontal="right" vertical="center" wrapText="1" readingOrder="2"/>
    </xf>
    <xf numFmtId="2" fontId="79" fillId="11" borderId="13" xfId="1" applyNumberFormat="1" applyFont="1" applyFill="1" applyBorder="1" applyAlignment="1">
      <alignment horizontal="center" vertical="center"/>
    </xf>
    <xf numFmtId="2" fontId="79" fillId="11" borderId="14" xfId="1" applyNumberFormat="1" applyFont="1" applyFill="1" applyBorder="1" applyAlignment="1">
      <alignment horizontal="center" vertical="center"/>
    </xf>
    <xf numFmtId="2" fontId="79" fillId="11" borderId="5" xfId="1" applyNumberFormat="1" applyFont="1" applyFill="1" applyBorder="1" applyAlignment="1">
      <alignment horizontal="center" vertical="center"/>
    </xf>
    <xf numFmtId="2" fontId="65" fillId="4" borderId="13" xfId="0" applyNumberFormat="1" applyFont="1" applyFill="1" applyBorder="1" applyAlignment="1">
      <alignment horizontal="right" wrapText="1" readingOrder="2"/>
    </xf>
    <xf numFmtId="2" fontId="65" fillId="4" borderId="5" xfId="0" applyNumberFormat="1" applyFont="1" applyFill="1" applyBorder="1" applyAlignment="1">
      <alignment horizontal="right" wrapText="1" readingOrder="2"/>
    </xf>
    <xf numFmtId="2" fontId="65" fillId="4" borderId="13" xfId="0" applyNumberFormat="1" applyFont="1" applyFill="1" applyBorder="1" applyAlignment="1">
      <alignment horizontal="right" vertical="center" wrapText="1" readingOrder="2"/>
    </xf>
    <xf numFmtId="2" fontId="65" fillId="4" borderId="5" xfId="0" applyNumberFormat="1" applyFont="1" applyFill="1" applyBorder="1" applyAlignment="1">
      <alignment horizontal="right" vertical="center" wrapText="1" readingOrder="2"/>
    </xf>
    <xf numFmtId="164" fontId="110" fillId="4" borderId="13" xfId="1" applyNumberFormat="1" applyFont="1" applyFill="1" applyBorder="1" applyAlignment="1">
      <alignment horizontal="center" vertical="center" readingOrder="2"/>
    </xf>
    <xf numFmtId="164" fontId="110" fillId="4" borderId="14" xfId="1" applyNumberFormat="1" applyFont="1" applyFill="1" applyBorder="1" applyAlignment="1">
      <alignment horizontal="center" vertical="center" readingOrder="2"/>
    </xf>
    <xf numFmtId="164" fontId="110" fillId="4" borderId="5" xfId="1" applyNumberFormat="1" applyFont="1" applyFill="1" applyBorder="1" applyAlignment="1">
      <alignment horizontal="center" vertical="center" readingOrder="2"/>
    </xf>
    <xf numFmtId="0" fontId="101" fillId="31" borderId="13" xfId="0" applyFont="1" applyFill="1" applyBorder="1" applyAlignment="1">
      <alignment horizontal="center" vertical="center" wrapText="1"/>
    </xf>
    <xf numFmtId="0" fontId="101" fillId="31" borderId="14" xfId="0" applyFont="1" applyFill="1" applyBorder="1" applyAlignment="1">
      <alignment horizontal="center" vertical="center" wrapText="1"/>
    </xf>
    <xf numFmtId="0" fontId="101" fillId="31" borderId="5" xfId="0" applyFont="1" applyFill="1" applyBorder="1" applyAlignment="1">
      <alignment horizontal="center" vertical="center" wrapText="1"/>
    </xf>
    <xf numFmtId="0" fontId="66" fillId="4" borderId="2" xfId="0" applyFont="1" applyFill="1" applyBorder="1" applyAlignment="1">
      <alignment horizontal="center" vertical="center"/>
    </xf>
    <xf numFmtId="0" fontId="66" fillId="4" borderId="6" xfId="0" applyFont="1" applyFill="1" applyBorder="1" applyAlignment="1">
      <alignment horizontal="center" vertical="center"/>
    </xf>
    <xf numFmtId="0" fontId="66" fillId="4" borderId="8" xfId="0" applyFont="1" applyFill="1" applyBorder="1" applyAlignment="1">
      <alignment horizontal="center" vertical="center"/>
    </xf>
    <xf numFmtId="0" fontId="65" fillId="4" borderId="2" xfId="0" applyFont="1" applyFill="1" applyBorder="1" applyAlignment="1">
      <alignment horizontal="center" vertical="center"/>
    </xf>
    <xf numFmtId="0" fontId="65" fillId="4" borderId="6" xfId="0" applyFont="1" applyFill="1" applyBorder="1" applyAlignment="1">
      <alignment horizontal="center" vertical="center"/>
    </xf>
    <xf numFmtId="0" fontId="65" fillId="4" borderId="8" xfId="0" applyFont="1" applyFill="1" applyBorder="1" applyAlignment="1">
      <alignment horizontal="center" vertical="center"/>
    </xf>
    <xf numFmtId="0" fontId="20" fillId="11" borderId="2" xfId="0" applyFont="1" applyFill="1" applyBorder="1" applyAlignment="1">
      <alignment horizontal="center" vertical="center"/>
    </xf>
    <xf numFmtId="0" fontId="20" fillId="11" borderId="8" xfId="0" applyFont="1" applyFill="1" applyBorder="1" applyAlignment="1">
      <alignment horizontal="center" vertical="center"/>
    </xf>
    <xf numFmtId="0" fontId="90" fillId="0" borderId="2" xfId="0" applyFont="1" applyBorder="1" applyAlignment="1">
      <alignment horizontal="center" vertical="center"/>
    </xf>
    <xf numFmtId="0" fontId="90" fillId="0" borderId="8" xfId="0" applyFont="1" applyBorder="1" applyAlignment="1">
      <alignment horizontal="center" vertical="center"/>
    </xf>
    <xf numFmtId="0" fontId="20" fillId="11" borderId="2" xfId="0" applyFont="1" applyFill="1" applyBorder="1" applyAlignment="1">
      <alignment horizontal="center" vertical="center" wrapText="1"/>
    </xf>
    <xf numFmtId="0" fontId="20" fillId="11" borderId="8" xfId="0" applyFont="1" applyFill="1" applyBorder="1" applyAlignment="1">
      <alignment horizontal="center" vertical="center" wrapText="1"/>
    </xf>
    <xf numFmtId="0" fontId="79" fillId="0" borderId="13" xfId="0" applyFont="1" applyBorder="1" applyAlignment="1">
      <alignment horizontal="center" vertical="center"/>
    </xf>
    <xf numFmtId="0" fontId="79" fillId="0" borderId="14" xfId="0" applyFont="1" applyBorder="1" applyAlignment="1">
      <alignment horizontal="center" vertical="center"/>
    </xf>
    <xf numFmtId="0" fontId="79" fillId="0" borderId="5" xfId="0" applyFont="1" applyBorder="1" applyAlignment="1">
      <alignment horizontal="center" vertical="center"/>
    </xf>
    <xf numFmtId="0" fontId="3" fillId="15" borderId="13" xfId="0" applyFont="1" applyFill="1" applyBorder="1" applyAlignment="1">
      <alignment horizontal="center" vertical="center" wrapText="1" readingOrder="2"/>
    </xf>
    <xf numFmtId="0" fontId="3" fillId="15" borderId="14" xfId="0" applyFont="1" applyFill="1" applyBorder="1" applyAlignment="1">
      <alignment horizontal="center" vertical="center" wrapText="1" readingOrder="2"/>
    </xf>
    <xf numFmtId="0" fontId="3" fillId="15" borderId="12" xfId="0" applyFont="1" applyFill="1" applyBorder="1" applyAlignment="1">
      <alignment horizontal="center" vertical="center" wrapText="1" readingOrder="2"/>
    </xf>
    <xf numFmtId="0" fontId="3" fillId="15" borderId="7" xfId="0" applyFont="1" applyFill="1" applyBorder="1" applyAlignment="1">
      <alignment horizontal="center" vertical="center" wrapText="1" readingOrder="2"/>
    </xf>
    <xf numFmtId="0" fontId="92" fillId="0" borderId="1" xfId="0" applyFont="1" applyBorder="1" applyAlignment="1">
      <alignment horizontal="center" vertical="center" wrapText="1" readingOrder="2"/>
    </xf>
    <xf numFmtId="0" fontId="20" fillId="11" borderId="13" xfId="0" applyFont="1" applyFill="1" applyBorder="1" applyAlignment="1">
      <alignment horizontal="center" vertical="center" wrapText="1"/>
    </xf>
    <xf numFmtId="0" fontId="20" fillId="11" borderId="5" xfId="0" applyFont="1" applyFill="1" applyBorder="1" applyAlignment="1">
      <alignment horizontal="center" vertical="center" wrapText="1"/>
    </xf>
    <xf numFmtId="0" fontId="90" fillId="0" borderId="6" xfId="0" applyFont="1" applyBorder="1" applyAlignment="1">
      <alignment horizontal="center" vertical="center"/>
    </xf>
    <xf numFmtId="0" fontId="66" fillId="4" borderId="2" xfId="0" applyFont="1" applyFill="1" applyBorder="1" applyAlignment="1">
      <alignment horizontal="center" vertical="center" wrapText="1"/>
    </xf>
    <xf numFmtId="0" fontId="66" fillId="4" borderId="6" xfId="0" applyFont="1" applyFill="1" applyBorder="1" applyAlignment="1">
      <alignment horizontal="center" vertical="center" wrapText="1"/>
    </xf>
    <xf numFmtId="0" fontId="66" fillId="4" borderId="8" xfId="0" applyFont="1" applyFill="1" applyBorder="1" applyAlignment="1">
      <alignment horizontal="center" vertical="center" wrapText="1"/>
    </xf>
    <xf numFmtId="1" fontId="65" fillId="0" borderId="2" xfId="0" applyNumberFormat="1" applyFont="1" applyBorder="1" applyAlignment="1">
      <alignment horizontal="center" vertical="center"/>
    </xf>
    <xf numFmtId="1" fontId="65" fillId="0" borderId="6" xfId="0" applyNumberFormat="1" applyFont="1" applyBorder="1" applyAlignment="1">
      <alignment horizontal="center" vertical="center"/>
    </xf>
    <xf numFmtId="1" fontId="65" fillId="0" borderId="8" xfId="0" applyNumberFormat="1" applyFont="1" applyBorder="1" applyAlignment="1">
      <alignment horizontal="center" vertical="center"/>
    </xf>
    <xf numFmtId="1" fontId="65" fillId="4" borderId="2" xfId="0" applyNumberFormat="1" applyFont="1" applyFill="1" applyBorder="1" applyAlignment="1">
      <alignment horizontal="center" vertical="center"/>
    </xf>
    <xf numFmtId="1" fontId="65" fillId="4" borderId="6" xfId="0" applyNumberFormat="1" applyFont="1" applyFill="1" applyBorder="1" applyAlignment="1">
      <alignment horizontal="center" vertical="center"/>
    </xf>
    <xf numFmtId="1" fontId="65" fillId="4" borderId="8" xfId="0" applyNumberFormat="1" applyFont="1" applyFill="1" applyBorder="1" applyAlignment="1">
      <alignment horizontal="center" vertical="center"/>
    </xf>
    <xf numFmtId="0" fontId="65" fillId="0" borderId="2" xfId="0" applyFont="1" applyBorder="1" applyAlignment="1">
      <alignment horizontal="center" vertical="center"/>
    </xf>
    <xf numFmtId="0" fontId="65" fillId="0" borderId="6" xfId="0" applyFont="1" applyBorder="1" applyAlignment="1">
      <alignment horizontal="center" vertical="center"/>
    </xf>
    <xf numFmtId="0" fontId="65" fillId="0" borderId="8" xfId="0" applyFont="1" applyBorder="1" applyAlignment="1">
      <alignment horizontal="center" vertical="center"/>
    </xf>
    <xf numFmtId="165" fontId="65" fillId="0" borderId="2" xfId="13" applyNumberFormat="1" applyFont="1" applyBorder="1" applyAlignment="1">
      <alignment horizontal="center" vertical="center"/>
    </xf>
    <xf numFmtId="165" fontId="65" fillId="0" borderId="6" xfId="13" applyNumberFormat="1" applyFont="1" applyBorder="1" applyAlignment="1">
      <alignment horizontal="center" vertical="center"/>
    </xf>
    <xf numFmtId="165" fontId="65" fillId="0" borderId="8" xfId="13" applyNumberFormat="1" applyFont="1" applyBorder="1" applyAlignment="1">
      <alignment horizontal="center" vertical="center"/>
    </xf>
    <xf numFmtId="0" fontId="65" fillId="4" borderId="0" xfId="0" applyFont="1" applyFill="1" applyBorder="1" applyAlignment="1">
      <alignment horizontal="right" vertical="center"/>
    </xf>
    <xf numFmtId="2" fontId="3" fillId="11" borderId="13" xfId="0" applyNumberFormat="1" applyFont="1" applyFill="1" applyBorder="1" applyAlignment="1">
      <alignment horizontal="center" vertical="center"/>
    </xf>
    <xf numFmtId="2" fontId="3" fillId="11" borderId="5" xfId="0" applyNumberFormat="1" applyFont="1" applyFill="1" applyBorder="1" applyAlignment="1">
      <alignment horizontal="center" vertical="center"/>
    </xf>
    <xf numFmtId="2" fontId="54" fillId="4" borderId="13" xfId="0" applyNumberFormat="1" applyFont="1" applyFill="1" applyBorder="1" applyAlignment="1">
      <alignment horizontal="center" vertical="center"/>
    </xf>
    <xf numFmtId="2" fontId="54" fillId="4" borderId="5" xfId="0" applyNumberFormat="1" applyFont="1" applyFill="1" applyBorder="1" applyAlignment="1">
      <alignment horizontal="center" vertical="center"/>
    </xf>
    <xf numFmtId="2" fontId="3" fillId="8" borderId="13" xfId="0" applyNumberFormat="1" applyFont="1" applyFill="1" applyBorder="1" applyAlignment="1">
      <alignment horizontal="center" vertical="center"/>
    </xf>
    <xf numFmtId="2" fontId="3" fillId="8" borderId="5" xfId="0" applyNumberFormat="1" applyFont="1" applyFill="1" applyBorder="1" applyAlignment="1">
      <alignment horizontal="center" vertical="center"/>
    </xf>
    <xf numFmtId="0" fontId="109" fillId="28" borderId="13" xfId="0" applyFont="1" applyFill="1" applyBorder="1" applyAlignment="1">
      <alignment horizontal="right" vertical="center"/>
    </xf>
    <xf numFmtId="0" fontId="109" fillId="28" borderId="14" xfId="0" applyFont="1" applyFill="1" applyBorder="1" applyAlignment="1">
      <alignment horizontal="right" vertical="center"/>
    </xf>
    <xf numFmtId="0" fontId="109" fillId="28" borderId="5" xfId="0" applyFont="1" applyFill="1" applyBorder="1" applyAlignment="1">
      <alignment horizontal="right" vertical="center"/>
    </xf>
    <xf numFmtId="2" fontId="109" fillId="6" borderId="13" xfId="0" applyNumberFormat="1" applyFont="1" applyFill="1" applyBorder="1" applyAlignment="1">
      <alignment horizontal="center" vertical="center"/>
    </xf>
    <xf numFmtId="2" fontId="109" fillId="6" borderId="14" xfId="0" applyNumberFormat="1" applyFont="1" applyFill="1" applyBorder="1" applyAlignment="1">
      <alignment horizontal="center" vertical="center"/>
    </xf>
    <xf numFmtId="2" fontId="109" fillId="6" borderId="5" xfId="0" applyNumberFormat="1" applyFont="1" applyFill="1" applyBorder="1" applyAlignment="1">
      <alignment horizontal="center" vertical="center"/>
    </xf>
    <xf numFmtId="164" fontId="87" fillId="8" borderId="13" xfId="1" applyNumberFormat="1" applyFont="1" applyFill="1" applyBorder="1" applyAlignment="1">
      <alignment horizontal="center" vertical="center"/>
    </xf>
    <xf numFmtId="164" fontId="87" fillId="8" borderId="14" xfId="1" applyNumberFormat="1" applyFont="1" applyFill="1" applyBorder="1" applyAlignment="1">
      <alignment horizontal="center" vertical="center"/>
    </xf>
    <xf numFmtId="164" fontId="87" fillId="8" borderId="5" xfId="1" applyNumberFormat="1" applyFont="1" applyFill="1" applyBorder="1" applyAlignment="1">
      <alignment horizontal="center" vertical="center"/>
    </xf>
    <xf numFmtId="2" fontId="66" fillId="11" borderId="13" xfId="0" applyNumberFormat="1" applyFont="1" applyFill="1" applyBorder="1" applyAlignment="1">
      <alignment horizontal="center" vertical="center" wrapText="1"/>
    </xf>
    <xf numFmtId="2" fontId="66" fillId="11" borderId="14" xfId="0" applyNumberFormat="1" applyFont="1" applyFill="1" applyBorder="1" applyAlignment="1">
      <alignment horizontal="center" vertical="center" wrapText="1"/>
    </xf>
    <xf numFmtId="2" fontId="66" fillId="11" borderId="5" xfId="0" applyNumberFormat="1" applyFont="1" applyFill="1" applyBorder="1" applyAlignment="1">
      <alignment horizontal="center" vertical="center" wrapText="1"/>
    </xf>
    <xf numFmtId="0" fontId="49" fillId="0" borderId="31" xfId="3" applyFont="1" applyBorder="1" applyAlignment="1">
      <alignment horizontal="center" wrapText="1"/>
    </xf>
    <xf numFmtId="0" fontId="49" fillId="0" borderId="32" xfId="3" applyFont="1" applyBorder="1" applyAlignment="1">
      <alignment horizontal="center" wrapText="1"/>
    </xf>
    <xf numFmtId="0" fontId="49" fillId="0" borderId="42" xfId="3" applyFont="1" applyBorder="1" applyAlignment="1">
      <alignment horizontal="center" wrapText="1"/>
    </xf>
    <xf numFmtId="0" fontId="0" fillId="0" borderId="0" xfId="0" applyAlignment="1">
      <alignment horizontal="center" vertical="top"/>
    </xf>
    <xf numFmtId="0" fontId="2" fillId="0" borderId="0" xfId="0" applyFont="1" applyAlignment="1">
      <alignment horizontal="center" vertical="top"/>
    </xf>
    <xf numFmtId="0" fontId="2" fillId="0" borderId="0" xfId="0" applyFont="1" applyAlignment="1">
      <alignment horizontal="center"/>
    </xf>
    <xf numFmtId="0" fontId="46" fillId="0" borderId="2" xfId="0" applyFont="1" applyBorder="1" applyAlignment="1">
      <alignment horizontal="center" vertical="center" wrapText="1" readingOrder="2"/>
    </xf>
    <xf numFmtId="0" fontId="46" fillId="0" borderId="8" xfId="0" applyFont="1" applyBorder="1" applyAlignment="1">
      <alignment horizontal="center" vertical="center" wrapText="1" readingOrder="2"/>
    </xf>
    <xf numFmtId="164" fontId="21" fillId="0" borderId="2" xfId="1" applyNumberFormat="1" applyFont="1" applyBorder="1" applyAlignment="1">
      <alignment horizontal="center" vertical="center" textRotation="180" wrapText="1"/>
    </xf>
    <xf numFmtId="164" fontId="21" fillId="0" borderId="8" xfId="1" applyNumberFormat="1" applyFont="1" applyBorder="1" applyAlignment="1">
      <alignment horizontal="center" vertical="center" textRotation="180" wrapText="1"/>
    </xf>
    <xf numFmtId="0" fontId="22" fillId="0" borderId="13" xfId="3" applyFont="1" applyBorder="1" applyAlignment="1">
      <alignment vertical="center" wrapText="1"/>
    </xf>
    <xf numFmtId="0" fontId="22" fillId="0" borderId="14" xfId="3" applyFont="1" applyBorder="1" applyAlignment="1">
      <alignment vertical="center" wrapText="1"/>
    </xf>
    <xf numFmtId="0" fontId="22" fillId="0" borderId="21" xfId="3" applyFont="1" applyBorder="1" applyAlignment="1">
      <alignment vertical="center" wrapText="1"/>
    </xf>
    <xf numFmtId="0" fontId="53" fillId="0" borderId="15" xfId="0" applyFont="1" applyBorder="1" applyAlignment="1">
      <alignment wrapText="1"/>
    </xf>
    <xf numFmtId="0" fontId="53" fillId="0" borderId="3" xfId="0" applyFont="1" applyBorder="1" applyAlignment="1">
      <alignment wrapText="1"/>
    </xf>
    <xf numFmtId="0" fontId="53" fillId="0" borderId="4" xfId="0" applyFont="1" applyBorder="1" applyAlignment="1">
      <alignment wrapText="1"/>
    </xf>
    <xf numFmtId="0" fontId="49" fillId="0" borderId="18" xfId="3" applyFont="1" applyBorder="1" applyAlignment="1">
      <alignment horizontal="center" wrapText="1"/>
    </xf>
    <xf numFmtId="0" fontId="49" fillId="0" borderId="19" xfId="3" applyFont="1" applyBorder="1" applyAlignment="1">
      <alignment horizontal="center" wrapText="1"/>
    </xf>
    <xf numFmtId="0" fontId="49" fillId="0" borderId="20" xfId="3" applyFont="1" applyBorder="1" applyAlignment="1">
      <alignment horizontal="center" wrapText="1"/>
    </xf>
    <xf numFmtId="0" fontId="53" fillId="0" borderId="34" xfId="0" applyFont="1" applyBorder="1" applyAlignment="1">
      <alignment wrapText="1"/>
    </xf>
    <xf numFmtId="0" fontId="53" fillId="0" borderId="35" xfId="0" applyFont="1" applyBorder="1" applyAlignment="1">
      <alignment wrapText="1"/>
    </xf>
    <xf numFmtId="0" fontId="53" fillId="0" borderId="36" xfId="0" applyFont="1" applyBorder="1" applyAlignment="1">
      <alignment wrapText="1"/>
    </xf>
    <xf numFmtId="0" fontId="53" fillId="0" borderId="43" xfId="0" applyFont="1" applyBorder="1" applyAlignment="1">
      <alignment wrapText="1"/>
    </xf>
    <xf numFmtId="0" fontId="53" fillId="0" borderId="55" xfId="0" applyFont="1" applyBorder="1" applyAlignment="1">
      <alignment wrapText="1"/>
    </xf>
    <xf numFmtId="0" fontId="0" fillId="0" borderId="0" xfId="0" applyAlignment="1">
      <alignment horizontal="right"/>
    </xf>
    <xf numFmtId="0" fontId="0" fillId="0" borderId="2" xfId="0" applyBorder="1" applyAlignment="1">
      <alignment horizontal="center" vertical="center" textRotation="90"/>
    </xf>
    <xf numFmtId="0" fontId="0" fillId="0" borderId="6" xfId="0" applyBorder="1" applyAlignment="1">
      <alignment horizontal="center" vertical="center" textRotation="90"/>
    </xf>
    <xf numFmtId="0" fontId="0" fillId="0" borderId="8" xfId="0" applyBorder="1" applyAlignment="1">
      <alignment horizontal="center" vertical="center" textRotation="90"/>
    </xf>
    <xf numFmtId="0" fontId="0" fillId="0" borderId="1" xfId="0" applyBorder="1" applyAlignment="1">
      <alignment horizontal="center" vertical="center"/>
    </xf>
    <xf numFmtId="0" fontId="75" fillId="4" borderId="0" xfId="0" applyFont="1" applyFill="1" applyBorder="1" applyAlignment="1">
      <alignment horizontal="center" vertical="center"/>
    </xf>
    <xf numFmtId="0" fontId="63" fillId="0" borderId="31" xfId="0" applyFont="1" applyBorder="1" applyAlignment="1">
      <alignment horizontal="center"/>
    </xf>
    <xf numFmtId="0" fontId="63" fillId="0" borderId="33" xfId="0" applyFont="1" applyBorder="1" applyAlignment="1">
      <alignment horizontal="center"/>
    </xf>
    <xf numFmtId="0" fontId="63" fillId="0" borderId="19" xfId="0" applyFont="1" applyBorder="1" applyAlignment="1">
      <alignment horizontal="center"/>
    </xf>
    <xf numFmtId="0" fontId="63" fillId="0" borderId="20" xfId="0" applyFont="1" applyBorder="1" applyAlignment="1">
      <alignment horizontal="center"/>
    </xf>
    <xf numFmtId="0" fontId="63" fillId="0" borderId="0" xfId="0" applyFont="1" applyAlignment="1">
      <alignment horizontal="center"/>
    </xf>
    <xf numFmtId="0" fontId="63" fillId="0" borderId="56" xfId="0" applyFont="1" applyBorder="1" applyAlignment="1">
      <alignment horizontal="center"/>
    </xf>
    <xf numFmtId="0" fontId="63" fillId="0" borderId="5" xfId="0" applyFont="1" applyBorder="1" applyAlignment="1">
      <alignment horizontal="center"/>
    </xf>
    <xf numFmtId="0" fontId="63" fillId="0" borderId="1" xfId="0" applyFont="1" applyBorder="1" applyAlignment="1">
      <alignment horizontal="center"/>
    </xf>
    <xf numFmtId="0" fontId="63" fillId="0" borderId="10" xfId="0" applyFont="1" applyBorder="1" applyAlignment="1">
      <alignment horizontal="center"/>
    </xf>
    <xf numFmtId="0" fontId="63" fillId="0" borderId="0" xfId="0" applyFont="1" applyAlignment="1">
      <alignment horizontal="center" vertical="center"/>
    </xf>
    <xf numFmtId="164" fontId="75" fillId="18" borderId="0" xfId="0" applyNumberFormat="1" applyFont="1" applyFill="1" applyBorder="1" applyAlignment="1">
      <alignment horizontal="center" vertical="center"/>
    </xf>
    <xf numFmtId="0" fontId="63" fillId="0" borderId="34" xfId="0" applyFont="1" applyBorder="1" applyAlignment="1">
      <alignment horizontal="center"/>
    </xf>
    <xf numFmtId="0" fontId="63" fillId="0" borderId="36" xfId="0" applyFont="1" applyBorder="1" applyAlignment="1">
      <alignment horizontal="center"/>
    </xf>
    <xf numFmtId="0" fontId="63" fillId="0" borderId="3" xfId="0" applyFont="1" applyBorder="1" applyAlignment="1">
      <alignment horizontal="center"/>
    </xf>
    <xf numFmtId="0" fontId="63" fillId="0" borderId="4" xfId="0" applyFont="1" applyBorder="1" applyAlignment="1">
      <alignment horizontal="center"/>
    </xf>
    <xf numFmtId="0" fontId="75" fillId="24" borderId="18" xfId="0" applyFont="1" applyFill="1" applyBorder="1" applyAlignment="1">
      <alignment horizontal="center" vertical="center" textRotation="90" wrapText="1"/>
    </xf>
    <xf numFmtId="0" fontId="75" fillId="24" borderId="57" xfId="0" applyFont="1" applyFill="1" applyBorder="1" applyAlignment="1">
      <alignment horizontal="center" vertical="center" textRotation="90" wrapText="1"/>
    </xf>
    <xf numFmtId="0" fontId="75" fillId="24" borderId="19" xfId="0" applyFont="1" applyFill="1" applyBorder="1" applyAlignment="1">
      <alignment horizontal="center" vertical="center" textRotation="90" wrapText="1"/>
    </xf>
    <xf numFmtId="0" fontId="75" fillId="24" borderId="1" xfId="0" applyFont="1" applyFill="1" applyBorder="1" applyAlignment="1">
      <alignment horizontal="center" vertical="center" textRotation="90" wrapText="1"/>
    </xf>
    <xf numFmtId="0" fontId="75" fillId="24" borderId="19" xfId="0" applyFont="1" applyFill="1" applyBorder="1" applyAlignment="1">
      <alignment horizontal="center" vertical="center"/>
    </xf>
    <xf numFmtId="0" fontId="75" fillId="24" borderId="1" xfId="0" applyFont="1" applyFill="1" applyBorder="1" applyAlignment="1">
      <alignment horizontal="center" vertical="center"/>
    </xf>
    <xf numFmtId="0" fontId="75" fillId="24" borderId="60" xfId="0" applyFont="1" applyFill="1" applyBorder="1" applyAlignment="1">
      <alignment horizontal="center" vertical="center" wrapText="1"/>
    </xf>
    <xf numFmtId="0" fontId="75" fillId="24" borderId="39" xfId="0" applyFont="1" applyFill="1" applyBorder="1" applyAlignment="1">
      <alignment horizontal="center" vertical="center" wrapText="1"/>
    </xf>
    <xf numFmtId="0" fontId="75" fillId="24" borderId="19" xfId="0" applyFont="1" applyFill="1" applyBorder="1" applyAlignment="1">
      <alignment horizontal="center" vertical="center" wrapText="1"/>
    </xf>
    <xf numFmtId="0" fontId="75" fillId="24" borderId="1" xfId="0" applyFont="1" applyFill="1" applyBorder="1" applyAlignment="1">
      <alignment horizontal="center" vertical="center" wrapText="1"/>
    </xf>
    <xf numFmtId="0" fontId="65" fillId="4" borderId="13" xfId="0" applyFont="1" applyFill="1" applyBorder="1" applyAlignment="1">
      <alignment horizontal="right" vertical="center" wrapText="1"/>
    </xf>
    <xf numFmtId="0" fontId="65" fillId="4" borderId="14" xfId="0" applyFont="1" applyFill="1" applyBorder="1" applyAlignment="1">
      <alignment horizontal="right" vertical="center" wrapText="1"/>
    </xf>
    <xf numFmtId="0" fontId="65" fillId="4" borderId="5" xfId="0" applyFont="1" applyFill="1" applyBorder="1" applyAlignment="1">
      <alignment horizontal="right" vertical="center" wrapText="1"/>
    </xf>
    <xf numFmtId="0" fontId="65" fillId="4" borderId="2" xfId="0" applyFont="1" applyFill="1" applyBorder="1" applyAlignment="1">
      <alignment horizontal="center" vertical="center" wrapText="1"/>
    </xf>
    <xf numFmtId="0" fontId="65" fillId="4" borderId="6" xfId="0" applyFont="1" applyFill="1" applyBorder="1" applyAlignment="1">
      <alignment horizontal="center" vertical="center" wrapText="1"/>
    </xf>
    <xf numFmtId="0" fontId="65" fillId="4" borderId="8" xfId="0" applyFont="1" applyFill="1" applyBorder="1" applyAlignment="1">
      <alignment horizontal="center" vertical="center" wrapText="1"/>
    </xf>
    <xf numFmtId="0" fontId="74" fillId="24" borderId="62" xfId="0" applyFont="1" applyFill="1" applyBorder="1" applyAlignment="1">
      <alignment horizontal="center" vertical="center" wrapText="1"/>
    </xf>
    <xf numFmtId="0" fontId="74" fillId="24" borderId="63" xfId="0" applyFont="1" applyFill="1" applyBorder="1" applyAlignment="1">
      <alignment horizontal="center" vertical="center" wrapText="1"/>
    </xf>
    <xf numFmtId="0" fontId="65" fillId="4" borderId="13" xfId="0" applyFont="1" applyFill="1" applyBorder="1" applyAlignment="1">
      <alignment horizontal="right" vertical="center"/>
    </xf>
    <xf numFmtId="0" fontId="65" fillId="4" borderId="14" xfId="0" applyFont="1" applyFill="1" applyBorder="1" applyAlignment="1">
      <alignment horizontal="right" vertical="center"/>
    </xf>
    <xf numFmtId="0" fontId="65" fillId="4" borderId="5" xfId="0" applyFont="1" applyFill="1" applyBorder="1" applyAlignment="1">
      <alignment horizontal="right" vertical="center"/>
    </xf>
    <xf numFmtId="0" fontId="65" fillId="0" borderId="13" xfId="0" applyFont="1" applyBorder="1" applyAlignment="1">
      <alignment horizontal="right" vertical="center" wrapText="1"/>
    </xf>
    <xf numFmtId="0" fontId="65" fillId="0" borderId="14" xfId="0" applyFont="1" applyBorder="1" applyAlignment="1">
      <alignment horizontal="right" vertical="center" wrapText="1"/>
    </xf>
    <xf numFmtId="0" fontId="65" fillId="0" borderId="5" xfId="0" applyFont="1" applyBorder="1" applyAlignment="1">
      <alignment horizontal="right" vertical="center" wrapText="1"/>
    </xf>
    <xf numFmtId="0" fontId="65" fillId="4" borderId="13" xfId="0" applyFont="1" applyFill="1" applyBorder="1" applyAlignment="1">
      <alignment horizontal="right" vertical="center" readingOrder="2"/>
    </xf>
    <xf numFmtId="0" fontId="65" fillId="4" borderId="14" xfId="0" applyFont="1" applyFill="1" applyBorder="1" applyAlignment="1">
      <alignment horizontal="right" vertical="center" readingOrder="2"/>
    </xf>
    <xf numFmtId="0" fontId="65" fillId="4" borderId="5" xfId="0" applyFont="1" applyFill="1" applyBorder="1" applyAlignment="1">
      <alignment horizontal="right" vertical="center" readingOrder="2"/>
    </xf>
    <xf numFmtId="0" fontId="68" fillId="4" borderId="13" xfId="0" applyFont="1" applyFill="1" applyBorder="1" applyAlignment="1">
      <alignment horizontal="right" vertical="center" wrapText="1"/>
    </xf>
    <xf numFmtId="0" fontId="68" fillId="4" borderId="14" xfId="0" applyFont="1" applyFill="1" applyBorder="1" applyAlignment="1">
      <alignment horizontal="right" vertical="center" wrapText="1"/>
    </xf>
    <xf numFmtId="0" fontId="68" fillId="4" borderId="5" xfId="0" applyFont="1" applyFill="1" applyBorder="1" applyAlignment="1">
      <alignment horizontal="right" vertical="center" wrapText="1"/>
    </xf>
    <xf numFmtId="0" fontId="68" fillId="4" borderId="2" xfId="0" applyFont="1" applyFill="1" applyBorder="1" applyAlignment="1">
      <alignment horizontal="right" vertical="center"/>
    </xf>
    <xf numFmtId="0" fontId="68" fillId="4" borderId="8" xfId="0" applyFont="1" applyFill="1" applyBorder="1" applyAlignment="1">
      <alignment horizontal="right" vertical="center"/>
    </xf>
    <xf numFmtId="0" fontId="68" fillId="4" borderId="6" xfId="0" applyFont="1" applyFill="1" applyBorder="1" applyAlignment="1">
      <alignment horizontal="right" vertical="center"/>
    </xf>
    <xf numFmtId="0" fontId="65" fillId="4" borderId="2" xfId="0" applyFont="1" applyFill="1" applyBorder="1" applyAlignment="1">
      <alignment vertical="center" textRotation="180" wrapText="1"/>
    </xf>
    <xf numFmtId="0" fontId="65" fillId="4" borderId="8" xfId="0" applyFont="1" applyFill="1" applyBorder="1" applyAlignment="1">
      <alignment vertical="center" textRotation="180" wrapText="1"/>
    </xf>
    <xf numFmtId="0" fontId="65" fillId="4" borderId="23" xfId="0" applyFont="1" applyFill="1" applyBorder="1" applyAlignment="1">
      <alignment horizontal="right" vertical="center" wrapText="1"/>
    </xf>
    <xf numFmtId="0" fontId="65" fillId="4" borderId="11" xfId="0" applyFont="1" applyFill="1" applyBorder="1" applyAlignment="1">
      <alignment horizontal="right" vertical="center" wrapText="1"/>
    </xf>
    <xf numFmtId="0" fontId="66" fillId="4" borderId="1" xfId="0" applyFont="1" applyFill="1" applyBorder="1" applyAlignment="1">
      <alignment horizontal="center"/>
    </xf>
    <xf numFmtId="0" fontId="75" fillId="0" borderId="0" xfId="0" applyFont="1" applyBorder="1" applyAlignment="1">
      <alignment horizontal="center" vertical="center"/>
    </xf>
    <xf numFmtId="0" fontId="75" fillId="18" borderId="0" xfId="0" applyFont="1" applyFill="1" applyBorder="1" applyAlignment="1">
      <alignment horizontal="center" vertical="center"/>
    </xf>
    <xf numFmtId="0" fontId="75" fillId="0" borderId="0" xfId="0" applyFont="1" applyBorder="1" applyAlignment="1">
      <alignment horizontal="right" vertical="center"/>
    </xf>
    <xf numFmtId="0" fontId="75" fillId="0" borderId="0" xfId="0" applyFont="1" applyBorder="1" applyAlignment="1">
      <alignment vertical="center"/>
    </xf>
    <xf numFmtId="0" fontId="66" fillId="0" borderId="0" xfId="0" applyFont="1" applyBorder="1" applyAlignment="1">
      <alignment horizontal="right" vertical="center"/>
    </xf>
    <xf numFmtId="0" fontId="75" fillId="4" borderId="0" xfId="0" applyFont="1" applyFill="1" applyBorder="1" applyAlignment="1">
      <alignment vertical="center"/>
    </xf>
    <xf numFmtId="0" fontId="75" fillId="7" borderId="0" xfId="0" applyFont="1" applyFill="1" applyBorder="1" applyAlignment="1">
      <alignment horizontal="right" vertical="center"/>
    </xf>
    <xf numFmtId="0" fontId="64" fillId="0" borderId="0" xfId="0" applyFont="1" applyAlignment="1">
      <alignment horizontal="center"/>
    </xf>
    <xf numFmtId="0" fontId="75" fillId="0" borderId="0" xfId="0" applyFont="1" applyBorder="1" applyAlignment="1">
      <alignment horizontal="center" vertical="center" wrapText="1"/>
    </xf>
    <xf numFmtId="169" fontId="75" fillId="0" borderId="0" xfId="0" applyNumberFormat="1" applyFont="1" applyBorder="1" applyAlignment="1">
      <alignment horizontal="center" vertical="center"/>
    </xf>
    <xf numFmtId="0" fontId="112" fillId="0" borderId="38" xfId="0" applyFont="1" applyBorder="1" applyAlignment="1">
      <alignment horizontal="center"/>
    </xf>
    <xf numFmtId="0" fontId="75" fillId="21" borderId="0" xfId="0" applyFont="1" applyFill="1" applyBorder="1" applyAlignment="1">
      <alignment horizontal="center" vertical="center" wrapText="1"/>
    </xf>
    <xf numFmtId="0" fontId="75" fillId="21" borderId="0" xfId="0" applyFont="1" applyFill="1" applyBorder="1" applyAlignment="1">
      <alignment horizontal="center" vertical="center"/>
    </xf>
    <xf numFmtId="0" fontId="75" fillId="21" borderId="0" xfId="0" applyFont="1" applyFill="1" applyBorder="1" applyAlignment="1">
      <alignment horizontal="center" vertical="center" readingOrder="1"/>
    </xf>
    <xf numFmtId="0" fontId="113" fillId="18" borderId="1" xfId="3" applyFont="1" applyFill="1" applyBorder="1" applyAlignment="1" applyProtection="1">
      <alignment horizontal="right" vertical="center"/>
      <protection locked="0"/>
    </xf>
    <xf numFmtId="0" fontId="89" fillId="0" borderId="1" xfId="3" applyFont="1" applyFill="1" applyBorder="1" applyAlignment="1" applyProtection="1">
      <alignment horizontal="right" vertical="center" wrapText="1"/>
      <protection locked="0"/>
    </xf>
    <xf numFmtId="0" fontId="89" fillId="0" borderId="1" xfId="3" applyFont="1" applyFill="1" applyBorder="1" applyAlignment="1" applyProtection="1">
      <alignment horizontal="center" vertical="center"/>
      <protection locked="0"/>
    </xf>
    <xf numFmtId="0" fontId="89" fillId="0" borderId="1" xfId="4" applyFont="1" applyFill="1" applyBorder="1" applyAlignment="1" applyProtection="1">
      <alignment horizontal="right" vertical="center" wrapText="1"/>
      <protection locked="0"/>
    </xf>
    <xf numFmtId="0" fontId="113" fillId="0" borderId="1" xfId="3" applyFont="1" applyFill="1" applyBorder="1" applyAlignment="1" applyProtection="1">
      <alignment horizontal="center" vertical="center" wrapText="1"/>
      <protection locked="0"/>
    </xf>
    <xf numFmtId="0" fontId="113" fillId="0" borderId="1" xfId="3" applyFont="1" applyFill="1" applyBorder="1" applyAlignment="1" applyProtection="1">
      <alignment horizontal="center"/>
      <protection locked="0"/>
    </xf>
    <xf numFmtId="164" fontId="113" fillId="0" borderId="1" xfId="3" applyNumberFormat="1" applyFont="1" applyFill="1" applyBorder="1" applyAlignment="1" applyProtection="1">
      <alignment horizontal="center"/>
      <protection locked="0"/>
    </xf>
    <xf numFmtId="0" fontId="89" fillId="0" borderId="1" xfId="4" applyFont="1" applyFill="1" applyBorder="1" applyAlignment="1" applyProtection="1">
      <alignment horizontal="right" wrapText="1"/>
      <protection locked="0"/>
    </xf>
    <xf numFmtId="0" fontId="89" fillId="0" borderId="1" xfId="4" applyFont="1" applyFill="1" applyBorder="1" applyAlignment="1" applyProtection="1">
      <alignment horizontal="center"/>
      <protection locked="0"/>
    </xf>
    <xf numFmtId="0" fontId="89" fillId="0" borderId="1" xfId="4" applyFont="1" applyFill="1" applyBorder="1" applyAlignment="1" applyProtection="1">
      <alignment horizontal="right"/>
      <protection locked="0"/>
    </xf>
    <xf numFmtId="0" fontId="113" fillId="18" borderId="1" xfId="3" applyFont="1" applyFill="1" applyBorder="1" applyAlignment="1" applyProtection="1">
      <alignment horizontal="right"/>
      <protection locked="0"/>
    </xf>
    <xf numFmtId="0" fontId="68" fillId="0" borderId="1" xfId="3" applyFont="1" applyFill="1" applyBorder="1" applyAlignment="1" applyProtection="1">
      <alignment horizontal="right" vertical="top" wrapText="1" readingOrder="2"/>
      <protection locked="0"/>
    </xf>
    <xf numFmtId="0" fontId="89" fillId="0" borderId="1" xfId="3" applyFont="1" applyFill="1" applyBorder="1" applyAlignment="1" applyProtection="1">
      <alignment horizontal="right" vertical="center"/>
      <protection locked="0"/>
    </xf>
    <xf numFmtId="0" fontId="67" fillId="0" borderId="1" xfId="3" applyFont="1" applyFill="1" applyBorder="1" applyAlignment="1" applyProtection="1">
      <alignment horizontal="right"/>
      <protection locked="0"/>
    </xf>
    <xf numFmtId="0" fontId="68" fillId="0" borderId="1" xfId="3" applyFont="1" applyFill="1" applyBorder="1" applyAlignment="1" applyProtection="1">
      <alignment horizontal="center" vertical="top"/>
      <protection locked="0"/>
    </xf>
    <xf numFmtId="0" fontId="114" fillId="0" borderId="1" xfId="7" applyFont="1" applyFill="1" applyBorder="1" applyAlignment="1" applyProtection="1">
      <alignment horizontal="center"/>
      <protection locked="0"/>
    </xf>
    <xf numFmtId="0" fontId="68" fillId="0" borderId="1" xfId="3" applyFont="1" applyFill="1" applyBorder="1" applyAlignment="1" applyProtection="1">
      <alignment horizontal="center"/>
      <protection locked="0"/>
    </xf>
    <xf numFmtId="0" fontId="67" fillId="0" borderId="1" xfId="3" applyFont="1" applyFill="1" applyBorder="1" applyAlignment="1">
      <alignment horizontal="right"/>
    </xf>
    <xf numFmtId="0" fontId="91" fillId="0" borderId="1" xfId="3" applyFont="1" applyFill="1" applyBorder="1" applyAlignment="1" applyProtection="1">
      <alignment horizontal="right" vertical="center" wrapText="1"/>
      <protection locked="0"/>
    </xf>
    <xf numFmtId="0" fontId="67" fillId="0" borderId="1" xfId="3" applyFont="1" applyFill="1" applyBorder="1" applyAlignment="1" applyProtection="1">
      <alignment horizontal="center"/>
      <protection locked="0"/>
    </xf>
    <xf numFmtId="0" fontId="67" fillId="0" borderId="1" xfId="3" applyFont="1" applyFill="1" applyBorder="1" applyAlignment="1" applyProtection="1">
      <alignment horizontal="right" vertical="center"/>
      <protection locked="0"/>
    </xf>
    <xf numFmtId="0" fontId="68" fillId="0" borderId="1" xfId="3" applyFont="1" applyFill="1" applyBorder="1" applyAlignment="1" applyProtection="1">
      <alignment horizontal="right" vertical="center"/>
      <protection locked="0"/>
    </xf>
    <xf numFmtId="0" fontId="68" fillId="0" borderId="1" xfId="3" applyFont="1" applyFill="1" applyBorder="1" applyAlignment="1" applyProtection="1">
      <alignment horizontal="right"/>
      <protection locked="0"/>
    </xf>
    <xf numFmtId="3" fontId="11" fillId="0" borderId="1" xfId="3" applyNumberFormat="1" applyFont="1" applyFill="1" applyBorder="1" applyAlignment="1" applyProtection="1">
      <alignment horizontal="center"/>
      <protection locked="0"/>
    </xf>
    <xf numFmtId="0" fontId="11" fillId="0" borderId="1" xfId="3" applyFont="1" applyFill="1" applyBorder="1" applyAlignment="1" applyProtection="1">
      <alignment horizontal="right" vertical="center"/>
      <protection locked="0"/>
    </xf>
    <xf numFmtId="0" fontId="12" fillId="18" borderId="1" xfId="3" applyFont="1" applyFill="1" applyBorder="1" applyAlignment="1" applyProtection="1">
      <alignment horizontal="center" vertical="center" wrapText="1"/>
      <protection locked="0"/>
    </xf>
    <xf numFmtId="0" fontId="67" fillId="18" borderId="1" xfId="3" applyFont="1" applyFill="1" applyBorder="1" applyAlignment="1" applyProtection="1">
      <alignment horizontal="right"/>
      <protection locked="0"/>
    </xf>
    <xf numFmtId="0" fontId="68" fillId="0" borderId="1" xfId="3" applyFont="1" applyFill="1" applyBorder="1" applyAlignment="1" applyProtection="1">
      <alignment horizontal="right" vertical="center" wrapText="1"/>
      <protection locked="0"/>
    </xf>
    <xf numFmtId="0" fontId="67" fillId="18" borderId="1" xfId="3" applyFont="1" applyFill="1" applyBorder="1" applyAlignment="1" applyProtection="1">
      <alignment horizontal="right" vertical="center"/>
      <protection locked="0"/>
    </xf>
    <xf numFmtId="0" fontId="68" fillId="0" borderId="1" xfId="3" applyFont="1" applyFill="1" applyBorder="1" applyAlignment="1" applyProtection="1">
      <alignment horizontal="center" vertical="center"/>
      <protection locked="0"/>
    </xf>
    <xf numFmtId="164" fontId="68" fillId="0" borderId="1" xfId="3" applyNumberFormat="1" applyFont="1" applyFill="1" applyBorder="1" applyAlignment="1" applyProtection="1">
      <alignment horizontal="center" vertical="center"/>
      <protection locked="0"/>
    </xf>
    <xf numFmtId="0" fontId="39" fillId="18" borderId="1" xfId="3" applyFont="1" applyFill="1" applyBorder="1" applyAlignment="1" applyProtection="1">
      <alignment horizontal="center" vertical="center" wrapText="1"/>
      <protection locked="0"/>
    </xf>
    <xf numFmtId="0" fontId="9" fillId="0" borderId="1" xfId="3" applyFont="1" applyFill="1" applyBorder="1" applyAlignment="1" applyProtection="1">
      <alignment horizontal="right" vertical="top" wrapText="1" readingOrder="2"/>
      <protection locked="0"/>
    </xf>
    <xf numFmtId="0" fontId="24" fillId="18" borderId="1" xfId="3" applyFont="1" applyFill="1" applyBorder="1" applyAlignment="1">
      <alignment horizontal="right"/>
    </xf>
    <xf numFmtId="0" fontId="24" fillId="18" borderId="1" xfId="3" applyFont="1" applyFill="1" applyBorder="1" applyAlignment="1">
      <alignment horizontal="center"/>
    </xf>
    <xf numFmtId="164" fontId="24" fillId="18" borderId="1" xfId="3" applyNumberFormat="1" applyFont="1" applyFill="1" applyBorder="1" applyAlignment="1">
      <alignment horizontal="center"/>
    </xf>
    <xf numFmtId="0" fontId="18" fillId="4" borderId="0" xfId="0" applyFont="1" applyFill="1" applyBorder="1" applyAlignment="1">
      <alignment horizontal="center" vertical="center"/>
    </xf>
    <xf numFmtId="0" fontId="18" fillId="0" borderId="0" xfId="0" applyFont="1" applyBorder="1" applyAlignment="1">
      <alignment horizontal="center" vertical="center"/>
    </xf>
    <xf numFmtId="0" fontId="18" fillId="5" borderId="0" xfId="0" applyFont="1" applyFill="1" applyBorder="1" applyAlignment="1">
      <alignment horizontal="right" vertical="center"/>
    </xf>
    <xf numFmtId="0" fontId="18" fillId="4" borderId="0" xfId="0" applyFont="1" applyFill="1" applyBorder="1" applyAlignment="1">
      <alignment horizontal="right" vertical="center"/>
    </xf>
    <xf numFmtId="0" fontId="2" fillId="0" borderId="1" xfId="0" applyFont="1" applyBorder="1" applyAlignment="1">
      <alignment horizontal="center"/>
    </xf>
    <xf numFmtId="0" fontId="2" fillId="5" borderId="1" xfId="0" applyFont="1" applyFill="1" applyBorder="1" applyAlignment="1">
      <alignment horizontal="right" vertical="center"/>
    </xf>
    <xf numFmtId="0" fontId="2" fillId="18" borderId="2" xfId="0" applyFont="1" applyFill="1" applyBorder="1" applyAlignment="1">
      <alignment horizontal="center" vertical="center"/>
    </xf>
    <xf numFmtId="0" fontId="18" fillId="7" borderId="0" xfId="0" applyFont="1" applyFill="1" applyBorder="1" applyAlignment="1">
      <alignment horizontal="center" vertical="center" readingOrder="1"/>
    </xf>
    <xf numFmtId="0" fontId="18" fillId="0" borderId="0" xfId="0" applyFont="1" applyBorder="1" applyAlignment="1">
      <alignment horizontal="center"/>
    </xf>
    <xf numFmtId="0" fontId="18" fillId="0" borderId="24" xfId="0" applyFont="1" applyBorder="1" applyAlignment="1">
      <alignment horizontal="center" vertical="center"/>
    </xf>
    <xf numFmtId="0" fontId="18" fillId="0" borderId="0" xfId="0" applyFont="1" applyAlignment="1">
      <alignment horizontal="center"/>
    </xf>
    <xf numFmtId="0" fontId="18" fillId="0" borderId="0" xfId="0" applyFont="1" applyBorder="1" applyAlignment="1">
      <alignment horizontal="right" vertical="center"/>
    </xf>
    <xf numFmtId="0" fontId="18" fillId="5" borderId="0" xfId="0" applyFont="1" applyFill="1" applyBorder="1" applyAlignment="1">
      <alignment horizontal="right"/>
    </xf>
    <xf numFmtId="0" fontId="18" fillId="0" borderId="0" xfId="0" applyFont="1" applyBorder="1" applyAlignment="1">
      <alignment horizontal="center" vertical="center" wrapText="1"/>
    </xf>
    <xf numFmtId="0" fontId="18" fillId="4" borderId="0" xfId="0" applyFont="1" applyFill="1" applyBorder="1" applyAlignment="1">
      <alignment horizontal="center" vertical="center" wrapText="1"/>
    </xf>
    <xf numFmtId="0" fontId="23" fillId="0" borderId="1" xfId="3" applyFont="1" applyFill="1" applyBorder="1" applyAlignment="1">
      <alignment horizontal="center"/>
    </xf>
    <xf numFmtId="164" fontId="36" fillId="0" borderId="1" xfId="7" applyNumberFormat="1" applyFill="1" applyBorder="1" applyAlignment="1" applyProtection="1">
      <alignment horizontal="center"/>
    </xf>
    <xf numFmtId="164" fontId="23" fillId="0" borderId="1" xfId="3" applyNumberFormat="1" applyFont="1" applyFill="1" applyBorder="1" applyAlignment="1">
      <alignment horizontal="center"/>
    </xf>
    <xf numFmtId="49" fontId="12" fillId="4" borderId="13" xfId="3" applyNumberFormat="1" applyFont="1" applyFill="1" applyBorder="1" applyAlignment="1">
      <alignment horizontal="right" wrapText="1" readingOrder="2"/>
    </xf>
    <xf numFmtId="49" fontId="12" fillId="4" borderId="14" xfId="3" applyNumberFormat="1" applyFont="1" applyFill="1" applyBorder="1" applyAlignment="1">
      <alignment horizontal="right" wrapText="1" readingOrder="2"/>
    </xf>
    <xf numFmtId="49" fontId="12" fillId="4" borderId="5" xfId="3" applyNumberFormat="1" applyFont="1" applyFill="1" applyBorder="1" applyAlignment="1">
      <alignment horizontal="right" wrapText="1" readingOrder="2"/>
    </xf>
    <xf numFmtId="0" fontId="12" fillId="4" borderId="1" xfId="3" applyFont="1" applyFill="1" applyBorder="1" applyAlignment="1" applyProtection="1">
      <alignment horizontal="right" vertical="top"/>
      <protection locked="0"/>
    </xf>
    <xf numFmtId="49" fontId="12" fillId="4" borderId="1" xfId="3" applyNumberFormat="1" applyFont="1" applyFill="1" applyBorder="1" applyAlignment="1">
      <alignment horizontal="right" readingOrder="2"/>
    </xf>
    <xf numFmtId="0" fontId="12" fillId="4" borderId="1" xfId="3" applyFont="1" applyFill="1" applyBorder="1" applyAlignment="1" applyProtection="1">
      <alignment horizontal="right" vertical="center"/>
      <protection locked="0"/>
    </xf>
    <xf numFmtId="0" fontId="12" fillId="4" borderId="1" xfId="3" applyFont="1" applyFill="1" applyBorder="1" applyAlignment="1" applyProtection="1">
      <alignment horizontal="right" vertical="top" wrapText="1"/>
      <protection locked="0"/>
    </xf>
    <xf numFmtId="49" fontId="12" fillId="4" borderId="1" xfId="3" applyNumberFormat="1" applyFont="1" applyFill="1" applyBorder="1" applyAlignment="1">
      <alignment horizontal="right" vertical="center" wrapText="1" readingOrder="2"/>
    </xf>
    <xf numFmtId="49" fontId="12" fillId="4" borderId="1" xfId="3" applyNumberFormat="1" applyFont="1" applyFill="1" applyBorder="1" applyAlignment="1">
      <alignment horizontal="right" vertical="center" readingOrder="2"/>
    </xf>
    <xf numFmtId="0" fontId="11" fillId="4" borderId="1" xfId="3" applyFont="1" applyFill="1" applyBorder="1" applyAlignment="1" applyProtection="1">
      <alignment horizontal="right" vertical="center" wrapText="1" readingOrder="2"/>
      <protection locked="0"/>
    </xf>
    <xf numFmtId="0" fontId="18" fillId="4" borderId="1" xfId="0" applyFont="1" applyFill="1" applyBorder="1"/>
    <xf numFmtId="0" fontId="11" fillId="4" borderId="1" xfId="3" applyFont="1" applyFill="1" applyBorder="1" applyAlignment="1" applyProtection="1">
      <alignment vertical="top"/>
      <protection locked="0"/>
    </xf>
    <xf numFmtId="0" fontId="11" fillId="4" borderId="13" xfId="3" applyFont="1" applyFill="1" applyBorder="1" applyAlignment="1" applyProtection="1">
      <alignment horizontal="right" vertical="center" wrapText="1" readingOrder="2"/>
      <protection locked="0"/>
    </xf>
    <xf numFmtId="0" fontId="11" fillId="4" borderId="14" xfId="3" applyFont="1" applyFill="1" applyBorder="1" applyAlignment="1" applyProtection="1">
      <alignment horizontal="right" vertical="center" wrapText="1" readingOrder="2"/>
      <protection locked="0"/>
    </xf>
    <xf numFmtId="0" fontId="11" fillId="4" borderId="5" xfId="3" applyFont="1" applyFill="1" applyBorder="1" applyAlignment="1" applyProtection="1">
      <alignment horizontal="right" vertical="center" wrapText="1" readingOrder="2"/>
      <protection locked="0"/>
    </xf>
    <xf numFmtId="0" fontId="11" fillId="4" borderId="13" xfId="3" applyFont="1" applyFill="1" applyBorder="1" applyAlignment="1" applyProtection="1">
      <alignment vertical="top"/>
      <protection locked="0"/>
    </xf>
    <xf numFmtId="0" fontId="11" fillId="4" borderId="14" xfId="3" applyFont="1" applyFill="1" applyBorder="1" applyAlignment="1" applyProtection="1">
      <alignment vertical="top"/>
      <protection locked="0"/>
    </xf>
    <xf numFmtId="0" fontId="11" fillId="4" borderId="5" xfId="3" applyFont="1" applyFill="1" applyBorder="1" applyAlignment="1" applyProtection="1">
      <alignment vertical="top"/>
      <protection locked="0"/>
    </xf>
    <xf numFmtId="3" fontId="12" fillId="4" borderId="1" xfId="3" applyNumberFormat="1" applyFont="1" applyFill="1" applyBorder="1" applyAlignment="1" applyProtection="1">
      <alignment horizontal="right" vertical="center"/>
      <protection locked="0"/>
    </xf>
    <xf numFmtId="0" fontId="18" fillId="4" borderId="1" xfId="0" applyFont="1" applyFill="1" applyBorder="1" applyAlignment="1">
      <alignment vertical="center" wrapText="1"/>
    </xf>
    <xf numFmtId="0" fontId="12" fillId="4" borderId="1" xfId="3" applyFont="1" applyFill="1" applyBorder="1" applyAlignment="1" applyProtection="1">
      <alignment horizontal="center" vertical="top"/>
      <protection locked="0"/>
    </xf>
    <xf numFmtId="0" fontId="12" fillId="4" borderId="1" xfId="3" applyFont="1" applyFill="1" applyBorder="1" applyAlignment="1" applyProtection="1">
      <alignment horizontal="right" vertical="center" wrapText="1" readingOrder="2"/>
      <protection locked="0"/>
    </xf>
    <xf numFmtId="0" fontId="11" fillId="4" borderId="1" xfId="3" applyFont="1" applyFill="1" applyBorder="1" applyAlignment="1" applyProtection="1">
      <alignment horizontal="right" vertical="center" readingOrder="2"/>
      <protection locked="0"/>
    </xf>
    <xf numFmtId="0" fontId="12" fillId="4" borderId="1" xfId="3" applyFont="1" applyFill="1" applyBorder="1" applyAlignment="1" applyProtection="1">
      <alignment horizontal="center" vertical="center"/>
      <protection locked="0"/>
    </xf>
    <xf numFmtId="0" fontId="17" fillId="4" borderId="13" xfId="0" applyFont="1" applyFill="1" applyBorder="1" applyAlignment="1">
      <alignment vertical="center"/>
    </xf>
    <xf numFmtId="0" fontId="17" fillId="4" borderId="14" xfId="0" applyFont="1" applyFill="1" applyBorder="1" applyAlignment="1">
      <alignment vertical="center"/>
    </xf>
    <xf numFmtId="0" fontId="17" fillId="4" borderId="5" xfId="0" applyFont="1" applyFill="1" applyBorder="1" applyAlignment="1">
      <alignment vertical="center"/>
    </xf>
    <xf numFmtId="0" fontId="18" fillId="4" borderId="1" xfId="0" applyFont="1" applyFill="1" applyBorder="1" applyAlignment="1">
      <alignment vertical="center"/>
    </xf>
    <xf numFmtId="0" fontId="11" fillId="4" borderId="1" xfId="3" applyFont="1" applyFill="1" applyBorder="1" applyAlignment="1" applyProtection="1">
      <alignment horizontal="right" vertical="center" wrapText="1"/>
      <protection locked="0"/>
    </xf>
    <xf numFmtId="0" fontId="12" fillId="4" borderId="1" xfId="3" applyFont="1" applyFill="1" applyBorder="1" applyAlignment="1" applyProtection="1">
      <alignment horizontal="right" vertical="center" wrapText="1"/>
      <protection locked="0"/>
    </xf>
    <xf numFmtId="0" fontId="5" fillId="4" borderId="1" xfId="0" applyFont="1" applyFill="1" applyBorder="1" applyAlignment="1">
      <alignment horizontal="right" vertical="center" wrapText="1" readingOrder="2"/>
    </xf>
    <xf numFmtId="0" fontId="6" fillId="4" borderId="1" xfId="0" applyFont="1" applyFill="1" applyBorder="1" applyAlignment="1">
      <alignment horizontal="right" vertical="center" wrapText="1" readingOrder="2"/>
    </xf>
    <xf numFmtId="164" fontId="12" fillId="4" borderId="1" xfId="2" applyNumberFormat="1" applyFont="1" applyFill="1" applyBorder="1" applyAlignment="1" applyProtection="1">
      <alignment horizontal="left"/>
    </xf>
    <xf numFmtId="164" fontId="12" fillId="4" borderId="1" xfId="2" applyNumberFormat="1" applyFont="1" applyFill="1" applyBorder="1" applyAlignment="1" applyProtection="1">
      <alignment horizontal="center"/>
    </xf>
    <xf numFmtId="0" fontId="12" fillId="4" borderId="1" xfId="3" applyFont="1" applyFill="1" applyBorder="1" applyAlignment="1" applyProtection="1">
      <alignment vertical="center"/>
      <protection locked="0"/>
    </xf>
    <xf numFmtId="0" fontId="12" fillId="4" borderId="1" xfId="3" applyFont="1" applyFill="1" applyBorder="1" applyAlignment="1" applyProtection="1">
      <alignment horizontal="right"/>
      <protection locked="0"/>
    </xf>
    <xf numFmtId="164" fontId="12" fillId="4" borderId="1" xfId="2" applyNumberFormat="1" applyFont="1" applyFill="1" applyBorder="1" applyAlignment="1" applyProtection="1">
      <alignment horizontal="left" vertical="center"/>
    </xf>
    <xf numFmtId="0" fontId="12" fillId="4" borderId="1" xfId="3" applyNumberFormat="1" applyFont="1" applyFill="1" applyBorder="1" applyAlignment="1" applyProtection="1">
      <alignment horizontal="center" vertical="center" wrapText="1"/>
    </xf>
    <xf numFmtId="168" fontId="12" fillId="4" borderId="1" xfId="1" applyNumberFormat="1" applyFont="1" applyFill="1" applyBorder="1" applyAlignment="1" applyProtection="1">
      <alignment horizontal="center" vertical="center" wrapText="1"/>
    </xf>
    <xf numFmtId="3" fontId="12" fillId="4" borderId="1" xfId="3" applyNumberFormat="1" applyFont="1" applyFill="1" applyBorder="1" applyAlignment="1" applyProtection="1">
      <alignment horizontal="center"/>
    </xf>
    <xf numFmtId="0" fontId="23" fillId="0" borderId="1" xfId="3" applyFont="1" applyFill="1" applyBorder="1" applyAlignment="1" applyProtection="1">
      <alignment horizontal="right"/>
    </xf>
    <xf numFmtId="0" fontId="24" fillId="19" borderId="1" xfId="3" applyFont="1" applyFill="1" applyBorder="1" applyAlignment="1" applyProtection="1">
      <alignment horizontal="right"/>
    </xf>
    <xf numFmtId="164" fontId="12" fillId="4" borderId="1" xfId="3" applyNumberFormat="1" applyFont="1" applyFill="1" applyBorder="1" applyAlignment="1" applyProtection="1">
      <alignment horizontal="center"/>
    </xf>
    <xf numFmtId="0" fontId="11" fillId="0" borderId="1" xfId="3" applyFont="1" applyFill="1" applyBorder="1" applyAlignment="1" applyProtection="1">
      <alignment horizontal="right"/>
    </xf>
    <xf numFmtId="0" fontId="12" fillId="19" borderId="1" xfId="3" applyFont="1" applyFill="1" applyBorder="1" applyAlignment="1" applyProtection="1">
      <alignment horizontal="right"/>
    </xf>
    <xf numFmtId="0" fontId="24" fillId="18" borderId="1" xfId="3" applyFont="1" applyFill="1" applyBorder="1" applyAlignment="1" applyProtection="1">
      <alignment horizontal="center" vertical="center" wrapText="1"/>
      <protection locked="0"/>
    </xf>
    <xf numFmtId="0" fontId="11" fillId="0" borderId="1" xfId="3" applyFont="1" applyFill="1" applyBorder="1" applyAlignment="1" applyProtection="1">
      <alignment horizontal="center"/>
      <protection locked="0"/>
    </xf>
    <xf numFmtId="0" fontId="68" fillId="9" borderId="1" xfId="3" applyFont="1" applyFill="1" applyBorder="1" applyAlignment="1" applyProtection="1">
      <alignment horizontal="right" vertical="center" wrapText="1" readingOrder="2"/>
      <protection locked="0"/>
    </xf>
    <xf numFmtId="0" fontId="17" fillId="16" borderId="1" xfId="0" applyFont="1" applyFill="1" applyBorder="1" applyAlignment="1">
      <alignment horizontal="center" vertical="center"/>
    </xf>
    <xf numFmtId="0" fontId="23" fillId="0" borderId="45" xfId="3" applyFont="1" applyFill="1" applyBorder="1" applyAlignment="1" applyProtection="1">
      <alignment horizontal="right" vertical="top" wrapText="1"/>
      <protection locked="0"/>
    </xf>
    <xf numFmtId="0" fontId="23" fillId="0" borderId="45" xfId="3" applyFont="1" applyFill="1" applyBorder="1" applyAlignment="1" applyProtection="1">
      <alignment horizontal="right" vertical="top"/>
      <protection locked="0"/>
    </xf>
    <xf numFmtId="0" fontId="24" fillId="18" borderId="45" xfId="3" applyFont="1" applyFill="1" applyBorder="1" applyAlignment="1">
      <alignment horizontal="center"/>
    </xf>
    <xf numFmtId="0" fontId="36" fillId="0" borderId="45" xfId="7" applyFont="1" applyFill="1" applyBorder="1" applyAlignment="1" applyProtection="1">
      <alignment horizontal="center"/>
    </xf>
    <xf numFmtId="0" fontId="23" fillId="0" borderId="45" xfId="3" applyFont="1" applyFill="1" applyBorder="1" applyAlignment="1">
      <alignment horizontal="center"/>
    </xf>
    <xf numFmtId="0" fontId="23" fillId="4" borderId="46" xfId="3" applyFont="1" applyFill="1" applyBorder="1" applyAlignment="1" applyProtection="1">
      <alignment horizontal="right" vertical="top" readingOrder="2"/>
      <protection locked="0"/>
    </xf>
    <xf numFmtId="0" fontId="23" fillId="4" borderId="48" xfId="3" applyFont="1" applyFill="1" applyBorder="1" applyAlignment="1" applyProtection="1">
      <alignment horizontal="right" vertical="top" readingOrder="2"/>
      <protection locked="0"/>
    </xf>
    <xf numFmtId="0" fontId="23" fillId="4" borderId="47" xfId="3" applyFont="1" applyFill="1" applyBorder="1" applyAlignment="1" applyProtection="1">
      <alignment horizontal="right" vertical="top" readingOrder="2"/>
      <protection locked="0"/>
    </xf>
    <xf numFmtId="0" fontId="23" fillId="4" borderId="46" xfId="3" applyFont="1" applyFill="1" applyBorder="1" applyAlignment="1" applyProtection="1">
      <alignment horizontal="right" vertical="top" wrapText="1"/>
      <protection locked="0"/>
    </xf>
    <xf numFmtId="0" fontId="23" fillId="4" borderId="48" xfId="3" applyFont="1" applyFill="1" applyBorder="1" applyAlignment="1" applyProtection="1">
      <alignment horizontal="right" vertical="top" wrapText="1"/>
      <protection locked="0"/>
    </xf>
    <xf numFmtId="0" fontId="23" fillId="4" borderId="47" xfId="3" applyFont="1" applyFill="1" applyBorder="1" applyAlignment="1" applyProtection="1">
      <alignment horizontal="right" vertical="top" wrapText="1"/>
      <protection locked="0"/>
    </xf>
    <xf numFmtId="0" fontId="23" fillId="4" borderId="46" xfId="3" applyFont="1" applyFill="1" applyBorder="1" applyAlignment="1" applyProtection="1">
      <alignment horizontal="right" vertical="top" wrapText="1" readingOrder="2"/>
      <protection locked="0"/>
    </xf>
    <xf numFmtId="0" fontId="23" fillId="4" borderId="48" xfId="3" applyFont="1" applyFill="1" applyBorder="1" applyAlignment="1" applyProtection="1">
      <alignment horizontal="right" vertical="top" wrapText="1" readingOrder="2"/>
      <protection locked="0"/>
    </xf>
    <xf numFmtId="0" fontId="23" fillId="4" borderId="47" xfId="3" applyFont="1" applyFill="1" applyBorder="1" applyAlignment="1" applyProtection="1">
      <alignment horizontal="right" vertical="top" wrapText="1" readingOrder="2"/>
      <protection locked="0"/>
    </xf>
    <xf numFmtId="0" fontId="23" fillId="0" borderId="46" xfId="3" applyFont="1" applyFill="1" applyBorder="1" applyAlignment="1" applyProtection="1">
      <alignment horizontal="right" vertical="center" wrapText="1" readingOrder="2"/>
      <protection locked="0"/>
    </xf>
    <xf numFmtId="0" fontId="23" fillId="0" borderId="48" xfId="3" applyFont="1" applyFill="1" applyBorder="1" applyAlignment="1" applyProtection="1">
      <alignment horizontal="right" vertical="center" wrapText="1" readingOrder="2"/>
      <protection locked="0"/>
    </xf>
    <xf numFmtId="0" fontId="23" fillId="0" borderId="47" xfId="3" applyFont="1" applyFill="1" applyBorder="1" applyAlignment="1" applyProtection="1">
      <alignment horizontal="right" vertical="center" wrapText="1" readingOrder="2"/>
      <protection locked="0"/>
    </xf>
    <xf numFmtId="3" fontId="23" fillId="0" borderId="46" xfId="3" applyNumberFormat="1" applyFont="1" applyFill="1" applyBorder="1" applyAlignment="1" applyProtection="1">
      <alignment horizontal="right" vertical="center"/>
      <protection locked="0"/>
    </xf>
    <xf numFmtId="3" fontId="23" fillId="0" borderId="48" xfId="3" applyNumberFormat="1" applyFont="1" applyFill="1" applyBorder="1" applyAlignment="1" applyProtection="1">
      <alignment horizontal="right" vertical="center"/>
      <protection locked="0"/>
    </xf>
    <xf numFmtId="3" fontId="23" fillId="0" borderId="47" xfId="3" applyNumberFormat="1" applyFont="1" applyFill="1" applyBorder="1" applyAlignment="1" applyProtection="1">
      <alignment horizontal="right" vertical="center"/>
      <protection locked="0"/>
    </xf>
    <xf numFmtId="0" fontId="23" fillId="0" borderId="46" xfId="3" applyFont="1" applyFill="1" applyBorder="1" applyAlignment="1" applyProtection="1">
      <alignment horizontal="right" vertical="center"/>
      <protection locked="0"/>
    </xf>
    <xf numFmtId="0" fontId="23" fillId="0" borderId="48" xfId="3" applyFont="1" applyFill="1" applyBorder="1" applyAlignment="1" applyProtection="1">
      <alignment horizontal="right" vertical="center"/>
      <protection locked="0"/>
    </xf>
    <xf numFmtId="0" fontId="23" fillId="0" borderId="47" xfId="3" applyFont="1" applyFill="1" applyBorder="1" applyAlignment="1" applyProtection="1">
      <alignment horizontal="right" vertical="center"/>
      <protection locked="0"/>
    </xf>
    <xf numFmtId="0" fontId="23" fillId="0" borderId="45" xfId="3" applyFont="1" applyFill="1" applyBorder="1" applyAlignment="1" applyProtection="1">
      <alignment horizontal="right" vertical="center"/>
      <protection locked="0"/>
    </xf>
    <xf numFmtId="0" fontId="24" fillId="0" borderId="45" xfId="3" applyFont="1" applyFill="1" applyBorder="1" applyAlignment="1" applyProtection="1">
      <alignment horizontal="right" vertical="center"/>
      <protection locked="0"/>
    </xf>
    <xf numFmtId="0" fontId="24" fillId="18" borderId="45" xfId="3" applyFont="1" applyFill="1" applyBorder="1" applyAlignment="1" applyProtection="1">
      <alignment horizontal="right"/>
      <protection locked="0"/>
    </xf>
    <xf numFmtId="0" fontId="24" fillId="18" borderId="46" xfId="3" applyFont="1" applyFill="1" applyBorder="1" applyAlignment="1" applyProtection="1">
      <alignment horizontal="right" vertical="top"/>
      <protection locked="0"/>
    </xf>
    <xf numFmtId="0" fontId="24" fillId="18" borderId="48" xfId="3" applyFont="1" applyFill="1" applyBorder="1" applyAlignment="1" applyProtection="1">
      <alignment horizontal="right" vertical="top"/>
      <protection locked="0"/>
    </xf>
    <xf numFmtId="0" fontId="24" fillId="18" borderId="47" xfId="3" applyFont="1" applyFill="1" applyBorder="1" applyAlignment="1" applyProtection="1">
      <alignment horizontal="right" vertical="top"/>
      <protection locked="0"/>
    </xf>
    <xf numFmtId="0" fontId="24" fillId="18" borderId="45" xfId="3" applyFont="1" applyFill="1" applyBorder="1" applyAlignment="1" applyProtection="1">
      <alignment horizontal="center" vertical="top"/>
      <protection locked="0"/>
    </xf>
    <xf numFmtId="0" fontId="23" fillId="4" borderId="46" xfId="3" applyFont="1" applyFill="1" applyBorder="1" applyAlignment="1" applyProtection="1">
      <alignment horizontal="center" vertical="top"/>
      <protection locked="0"/>
    </xf>
    <xf numFmtId="0" fontId="23" fillId="4" borderId="48" xfId="3" applyFont="1" applyFill="1" applyBorder="1" applyAlignment="1" applyProtection="1">
      <alignment horizontal="center" vertical="top"/>
      <protection locked="0"/>
    </xf>
    <xf numFmtId="0" fontId="23" fillId="4" borderId="47" xfId="3" applyFont="1" applyFill="1" applyBorder="1" applyAlignment="1" applyProtection="1">
      <alignment horizontal="center" vertical="top"/>
      <protection locked="0"/>
    </xf>
    <xf numFmtId="0" fontId="23" fillId="4" borderId="46" xfId="3" applyFont="1" applyFill="1" applyBorder="1" applyAlignment="1" applyProtection="1">
      <alignment horizontal="center" vertical="top" wrapText="1"/>
      <protection locked="0"/>
    </xf>
    <xf numFmtId="0" fontId="23" fillId="4" borderId="48" xfId="3" applyFont="1" applyFill="1" applyBorder="1" applyAlignment="1" applyProtection="1">
      <alignment horizontal="center" vertical="top" wrapText="1"/>
      <protection locked="0"/>
    </xf>
    <xf numFmtId="0" fontId="23" fillId="4" borderId="47" xfId="3" applyFont="1" applyFill="1" applyBorder="1" applyAlignment="1" applyProtection="1">
      <alignment horizontal="center" vertical="top" wrapText="1"/>
      <protection locked="0"/>
    </xf>
    <xf numFmtId="0" fontId="23" fillId="4" borderId="46" xfId="3" applyFont="1" applyFill="1" applyBorder="1" applyAlignment="1" applyProtection="1">
      <alignment horizontal="right" vertical="top"/>
      <protection locked="0"/>
    </xf>
    <xf numFmtId="0" fontId="23" fillId="4" borderId="48" xfId="3" applyFont="1" applyFill="1" applyBorder="1" applyAlignment="1" applyProtection="1">
      <alignment horizontal="right" vertical="top"/>
      <protection locked="0"/>
    </xf>
    <xf numFmtId="0" fontId="23" fillId="4" borderId="47" xfId="3" applyFont="1" applyFill="1" applyBorder="1" applyAlignment="1" applyProtection="1">
      <alignment horizontal="right" vertical="top"/>
      <protection locked="0"/>
    </xf>
    <xf numFmtId="164" fontId="9" fillId="0" borderId="45" xfId="2" applyNumberFormat="1" applyFont="1" applyFill="1" applyBorder="1" applyAlignment="1" applyProtection="1">
      <alignment horizontal="center"/>
    </xf>
    <xf numFmtId="164" fontId="9" fillId="0" borderId="46" xfId="2" applyNumberFormat="1" applyFont="1" applyFill="1" applyBorder="1" applyAlignment="1" applyProtection="1">
      <alignment horizontal="center"/>
    </xf>
    <xf numFmtId="164" fontId="9" fillId="0" borderId="48" xfId="2" applyNumberFormat="1" applyFont="1" applyFill="1" applyBorder="1" applyAlignment="1" applyProtection="1">
      <alignment horizontal="center"/>
    </xf>
    <xf numFmtId="164" fontId="9" fillId="0" borderId="47" xfId="2" applyNumberFormat="1" applyFont="1" applyFill="1" applyBorder="1" applyAlignment="1" applyProtection="1">
      <alignment horizontal="center"/>
    </xf>
    <xf numFmtId="164" fontId="9" fillId="0" borderId="45" xfId="2" applyNumberFormat="1" applyFont="1" applyFill="1" applyBorder="1" applyAlignment="1" applyProtection="1">
      <alignment horizontal="left"/>
    </xf>
    <xf numFmtId="164" fontId="8" fillId="19" borderId="45" xfId="2" applyNumberFormat="1" applyFont="1" applyFill="1" applyBorder="1" applyAlignment="1" applyProtection="1">
      <alignment horizontal="center"/>
    </xf>
    <xf numFmtId="164" fontId="9" fillId="19" borderId="46" xfId="2" applyNumberFormat="1" applyFont="1" applyFill="1" applyBorder="1" applyAlignment="1" applyProtection="1">
      <alignment horizontal="center"/>
    </xf>
    <xf numFmtId="164" fontId="9" fillId="19" borderId="48" xfId="2" applyNumberFormat="1" applyFont="1" applyFill="1" applyBorder="1" applyAlignment="1" applyProtection="1">
      <alignment horizontal="center"/>
    </xf>
    <xf numFmtId="164" fontId="9" fillId="19" borderId="47" xfId="2" applyNumberFormat="1" applyFont="1" applyFill="1" applyBorder="1" applyAlignment="1" applyProtection="1">
      <alignment horizontal="center"/>
    </xf>
    <xf numFmtId="0" fontId="24" fillId="18" borderId="45" xfId="3" applyFont="1" applyFill="1" applyBorder="1" applyAlignment="1" applyProtection="1">
      <alignment vertical="center"/>
      <protection locked="0"/>
    </xf>
    <xf numFmtId="164" fontId="9" fillId="0" borderId="46" xfId="2" applyNumberFormat="1" applyFont="1" applyFill="1" applyBorder="1" applyAlignment="1" applyProtection="1">
      <alignment horizontal="left" vertical="center"/>
    </xf>
    <xf numFmtId="164" fontId="9" fillId="0" borderId="47" xfId="2" applyNumberFormat="1" applyFont="1" applyFill="1" applyBorder="1" applyAlignment="1" applyProtection="1">
      <alignment horizontal="left" vertical="center"/>
    </xf>
    <xf numFmtId="0" fontId="58" fillId="0" borderId="45" xfId="3" applyFont="1" applyFill="1" applyBorder="1" applyAlignment="1" applyProtection="1">
      <alignment horizontal="right"/>
    </xf>
    <xf numFmtId="0" fontId="24" fillId="19" borderId="45" xfId="3" applyFont="1" applyFill="1" applyBorder="1" applyAlignment="1" applyProtection="1">
      <alignment horizontal="right"/>
    </xf>
    <xf numFmtId="0" fontId="8" fillId="18" borderId="45" xfId="3" applyFont="1" applyFill="1" applyBorder="1" applyAlignment="1" applyProtection="1">
      <alignment horizontal="center"/>
    </xf>
    <xf numFmtId="3" fontId="8" fillId="18" borderId="46" xfId="3" applyNumberFormat="1" applyFont="1" applyFill="1" applyBorder="1" applyAlignment="1" applyProtection="1">
      <alignment horizontal="center"/>
    </xf>
    <xf numFmtId="3" fontId="8" fillId="18" borderId="48" xfId="3" applyNumberFormat="1" applyFont="1" applyFill="1" applyBorder="1" applyAlignment="1" applyProtection="1">
      <alignment horizontal="center"/>
    </xf>
    <xf numFmtId="3" fontId="8" fillId="18" borderId="47" xfId="3" applyNumberFormat="1" applyFont="1" applyFill="1" applyBorder="1" applyAlignment="1" applyProtection="1">
      <alignment horizontal="center"/>
    </xf>
    <xf numFmtId="0" fontId="8" fillId="18" borderId="45" xfId="3" applyNumberFormat="1" applyFont="1" applyFill="1" applyBorder="1" applyAlignment="1" applyProtection="1">
      <alignment horizontal="center" vertical="center" wrapText="1"/>
    </xf>
    <xf numFmtId="0" fontId="8" fillId="18" borderId="46" xfId="3" applyNumberFormat="1" applyFont="1" applyFill="1" applyBorder="1" applyAlignment="1" applyProtection="1">
      <alignment horizontal="center" vertical="center" wrapText="1"/>
    </xf>
    <xf numFmtId="168" fontId="8" fillId="18" borderId="46" xfId="1" applyNumberFormat="1" applyFont="1" applyFill="1" applyBorder="1" applyAlignment="1" applyProtection="1">
      <alignment horizontal="center" vertical="center" wrapText="1"/>
    </xf>
    <xf numFmtId="168" fontId="8" fillId="18" borderId="48" xfId="1" applyNumberFormat="1" applyFont="1" applyFill="1" applyBorder="1" applyAlignment="1" applyProtection="1">
      <alignment horizontal="center" vertical="center" wrapText="1"/>
    </xf>
    <xf numFmtId="168" fontId="8" fillId="18" borderId="47" xfId="1" applyNumberFormat="1" applyFont="1" applyFill="1" applyBorder="1" applyAlignment="1" applyProtection="1">
      <alignment horizontal="center" vertical="center" wrapText="1"/>
    </xf>
    <xf numFmtId="3" fontId="8" fillId="0" borderId="46" xfId="3" applyNumberFormat="1" applyFont="1" applyFill="1" applyBorder="1" applyAlignment="1" applyProtection="1">
      <alignment horizontal="center"/>
    </xf>
    <xf numFmtId="3" fontId="8" fillId="0" borderId="48" xfId="3" applyNumberFormat="1" applyFont="1" applyFill="1" applyBorder="1" applyAlignment="1" applyProtection="1">
      <alignment horizontal="center"/>
    </xf>
    <xf numFmtId="3" fontId="8" fillId="0" borderId="47" xfId="3" applyNumberFormat="1" applyFont="1" applyFill="1" applyBorder="1" applyAlignment="1" applyProtection="1">
      <alignment horizontal="center"/>
    </xf>
    <xf numFmtId="0" fontId="58" fillId="0" borderId="45" xfId="3" applyFont="1" applyFill="1" applyBorder="1" applyAlignment="1" applyProtection="1">
      <alignment horizontal="center"/>
      <protection locked="0"/>
    </xf>
    <xf numFmtId="0" fontId="24" fillId="18" borderId="45" xfId="3" applyFont="1" applyFill="1" applyBorder="1" applyAlignment="1" applyProtection="1">
      <alignment horizontal="center" vertical="center" wrapText="1"/>
      <protection locked="0"/>
    </xf>
    <xf numFmtId="0" fontId="23" fillId="0" borderId="45" xfId="3" applyFont="1" applyFill="1" applyBorder="1" applyAlignment="1" applyProtection="1">
      <alignment horizontal="right"/>
    </xf>
    <xf numFmtId="0" fontId="9" fillId="0" borderId="45" xfId="3" applyFont="1" applyFill="1" applyBorder="1" applyAlignment="1" applyProtection="1">
      <alignment horizontal="right" vertical="center" wrapText="1"/>
      <protection locked="0"/>
    </xf>
    <xf numFmtId="0" fontId="14" fillId="0" borderId="45" xfId="3" applyFont="1" applyFill="1" applyBorder="1" applyAlignment="1" applyProtection="1">
      <alignment horizontal="right" vertical="center" wrapText="1"/>
      <protection locked="0"/>
    </xf>
    <xf numFmtId="0" fontId="24" fillId="18" borderId="45" xfId="3" applyFont="1" applyFill="1" applyBorder="1" applyAlignment="1" applyProtection="1">
      <alignment horizontal="right" vertical="center"/>
      <protection locked="0"/>
    </xf>
    <xf numFmtId="0" fontId="23" fillId="0" borderId="49" xfId="3" applyFont="1" applyFill="1" applyBorder="1" applyAlignment="1" applyProtection="1">
      <alignment horizontal="right" vertical="center" wrapText="1"/>
      <protection locked="0"/>
    </xf>
    <xf numFmtId="0" fontId="23" fillId="0" borderId="50" xfId="3" applyFont="1" applyFill="1" applyBorder="1" applyAlignment="1" applyProtection="1">
      <alignment horizontal="right" vertical="center" wrapText="1"/>
      <protection locked="0"/>
    </xf>
    <xf numFmtId="0" fontId="23" fillId="0" borderId="45" xfId="3" applyFont="1" applyFill="1" applyBorder="1" applyAlignment="1" applyProtection="1">
      <alignment horizontal="center" vertical="center"/>
      <protection locked="0"/>
    </xf>
    <xf numFmtId="3" fontId="23" fillId="0" borderId="45" xfId="3" applyNumberFormat="1" applyFont="1" applyFill="1" applyBorder="1" applyAlignment="1" applyProtection="1">
      <alignment horizontal="center"/>
      <protection locked="0"/>
    </xf>
    <xf numFmtId="0" fontId="23" fillId="0" borderId="45" xfId="3" applyFont="1" applyFill="1" applyBorder="1" applyAlignment="1" applyProtection="1">
      <alignment horizontal="right"/>
      <protection locked="0"/>
    </xf>
    <xf numFmtId="0" fontId="23" fillId="0" borderId="45" xfId="3" applyFont="1" applyFill="1" applyBorder="1" applyAlignment="1" applyProtection="1">
      <alignment horizontal="center"/>
      <protection locked="0"/>
    </xf>
    <xf numFmtId="0" fontId="24" fillId="0" borderId="45" xfId="3" applyFont="1" applyFill="1" applyBorder="1" applyAlignment="1" applyProtection="1">
      <alignment horizontal="right"/>
      <protection locked="0"/>
    </xf>
    <xf numFmtId="0" fontId="24" fillId="0" borderId="45" xfId="3" applyFont="1" applyFill="1" applyBorder="1" applyAlignment="1" applyProtection="1">
      <alignment horizontal="center"/>
      <protection locked="0"/>
    </xf>
    <xf numFmtId="0" fontId="23" fillId="0" borderId="45" xfId="3" applyFont="1" applyFill="1" applyBorder="1" applyAlignment="1" applyProtection="1">
      <alignment horizontal="center" vertical="top"/>
      <protection locked="0"/>
    </xf>
    <xf numFmtId="0" fontId="36" fillId="0" borderId="45" xfId="7" applyFont="1" applyFill="1" applyBorder="1" applyAlignment="1" applyProtection="1">
      <alignment horizontal="center"/>
      <protection locked="0"/>
    </xf>
    <xf numFmtId="0" fontId="23" fillId="0" borderId="45" xfId="3" applyFont="1" applyFill="1" applyBorder="1" applyAlignment="1">
      <alignment horizontal="right"/>
    </xf>
    <xf numFmtId="0" fontId="23" fillId="0" borderId="45" xfId="3" applyFont="1" applyFill="1" applyBorder="1" applyAlignment="1" applyProtection="1">
      <alignment horizontal="center"/>
    </xf>
    <xf numFmtId="0" fontId="23" fillId="0" borderId="45" xfId="3" applyFont="1" applyFill="1" applyBorder="1" applyAlignment="1" applyProtection="1">
      <alignment horizontal="right" wrapText="1"/>
      <protection locked="0"/>
    </xf>
    <xf numFmtId="0" fontId="9" fillId="0" borderId="46" xfId="3" applyFont="1" applyFill="1" applyBorder="1" applyAlignment="1" applyProtection="1">
      <alignment horizontal="right" vertical="top" wrapText="1" readingOrder="2"/>
      <protection locked="0"/>
    </xf>
    <xf numFmtId="0" fontId="9" fillId="0" borderId="48" xfId="3" applyFont="1" applyFill="1" applyBorder="1" applyAlignment="1" applyProtection="1">
      <alignment horizontal="right" vertical="top" wrapText="1" readingOrder="2"/>
      <protection locked="0"/>
    </xf>
    <xf numFmtId="0" fontId="9" fillId="0" borderId="47" xfId="3" applyFont="1" applyFill="1" applyBorder="1" applyAlignment="1" applyProtection="1">
      <alignment horizontal="right" vertical="top" wrapText="1" readingOrder="2"/>
      <protection locked="0"/>
    </xf>
    <xf numFmtId="0" fontId="14" fillId="0" borderId="46" xfId="3" applyFont="1" applyFill="1" applyBorder="1" applyAlignment="1" applyProtection="1">
      <alignment horizontal="right" vertical="top" wrapText="1"/>
      <protection locked="0"/>
    </xf>
    <xf numFmtId="0" fontId="14" fillId="0" borderId="48" xfId="3" applyFont="1" applyFill="1" applyBorder="1" applyAlignment="1" applyProtection="1">
      <alignment horizontal="right" vertical="top" wrapText="1"/>
      <protection locked="0"/>
    </xf>
    <xf numFmtId="0" fontId="14" fillId="0" borderId="47" xfId="3" applyFont="1" applyFill="1" applyBorder="1" applyAlignment="1" applyProtection="1">
      <alignment horizontal="right" vertical="top" wrapText="1"/>
      <protection locked="0"/>
    </xf>
    <xf numFmtId="0" fontId="23" fillId="0" borderId="45" xfId="3" applyFont="1" applyFill="1" applyBorder="1" applyAlignment="1" applyProtection="1">
      <alignment horizontal="right" vertical="center" wrapText="1"/>
      <protection locked="0"/>
    </xf>
    <xf numFmtId="0" fontId="23" fillId="0" borderId="46" xfId="3" applyFont="1" applyFill="1" applyBorder="1" applyAlignment="1" applyProtection="1">
      <alignment horizontal="center" vertical="center"/>
      <protection locked="0"/>
    </xf>
    <xf numFmtId="0" fontId="23" fillId="0" borderId="48" xfId="3" applyFont="1" applyFill="1" applyBorder="1" applyAlignment="1" applyProtection="1">
      <alignment horizontal="center" vertical="center"/>
      <protection locked="0"/>
    </xf>
    <xf numFmtId="0" fontId="23" fillId="0" borderId="47" xfId="3" applyFont="1" applyFill="1" applyBorder="1" applyAlignment="1" applyProtection="1">
      <alignment horizontal="center" vertical="center"/>
      <protection locked="0"/>
    </xf>
    <xf numFmtId="0" fontId="9" fillId="0" borderId="0" xfId="3" applyFill="1" applyAlignment="1">
      <alignment horizontal="center"/>
    </xf>
    <xf numFmtId="0" fontId="8" fillId="0" borderId="0" xfId="3" applyFont="1" applyFill="1" applyBorder="1" applyAlignment="1" applyProtection="1">
      <alignment horizontal="center" vertical="center" wrapText="1"/>
      <protection locked="0"/>
    </xf>
    <xf numFmtId="0" fontId="44" fillId="0" borderId="0" xfId="3" applyFont="1" applyFill="1" applyBorder="1" applyAlignment="1" applyProtection="1">
      <alignment horizontal="center"/>
      <protection locked="0"/>
    </xf>
    <xf numFmtId="0" fontId="12" fillId="0" borderId="44" xfId="3" applyFont="1" applyFill="1" applyBorder="1" applyAlignment="1" applyProtection="1">
      <alignment horizontal="right" vertical="center"/>
      <protection locked="0"/>
    </xf>
    <xf numFmtId="0" fontId="44" fillId="0" borderId="44" xfId="3" applyFont="1" applyFill="1" applyBorder="1" applyAlignment="1" applyProtection="1">
      <alignment horizontal="right" vertical="center"/>
      <protection locked="0"/>
    </xf>
    <xf numFmtId="0" fontId="15" fillId="0" borderId="46" xfId="3" applyFont="1" applyFill="1" applyBorder="1" applyAlignment="1" applyProtection="1">
      <alignment horizontal="right" vertical="center"/>
      <protection locked="0"/>
    </xf>
    <xf numFmtId="0" fontId="15" fillId="0" borderId="47" xfId="3" applyFont="1" applyFill="1" applyBorder="1" applyAlignment="1" applyProtection="1">
      <alignment horizontal="right" vertical="center"/>
      <protection locked="0"/>
    </xf>
    <xf numFmtId="0" fontId="0" fillId="0" borderId="1" xfId="0" applyBorder="1" applyAlignment="1">
      <alignment horizontal="right" vertical="center" wrapText="1" readingOrder="2"/>
    </xf>
    <xf numFmtId="0" fontId="0" fillId="0" borderId="13" xfId="0" applyBorder="1" applyAlignment="1">
      <alignment horizontal="right" vertical="center" wrapText="1" readingOrder="2"/>
    </xf>
    <xf numFmtId="0" fontId="0" fillId="0" borderId="14" xfId="0" applyBorder="1" applyAlignment="1">
      <alignment horizontal="right" vertical="center" wrapText="1" readingOrder="2"/>
    </xf>
    <xf numFmtId="0" fontId="0" fillId="0" borderId="5" xfId="0" applyBorder="1" applyAlignment="1">
      <alignment horizontal="right" vertical="center" wrapText="1" readingOrder="2"/>
    </xf>
    <xf numFmtId="0" fontId="0" fillId="0" borderId="13" xfId="0" applyBorder="1" applyAlignment="1">
      <alignment horizontal="center" vertical="center" wrapText="1" readingOrder="2"/>
    </xf>
    <xf numFmtId="0" fontId="0" fillId="0" borderId="14" xfId="0" applyBorder="1" applyAlignment="1">
      <alignment horizontal="center" vertical="center" wrapText="1" readingOrder="2"/>
    </xf>
    <xf numFmtId="0" fontId="0" fillId="0" borderId="5" xfId="0" applyBorder="1" applyAlignment="1">
      <alignment horizontal="center" vertical="center" wrapText="1" readingOrder="2"/>
    </xf>
    <xf numFmtId="0" fontId="17" fillId="24" borderId="2" xfId="0" applyFont="1" applyFill="1" applyBorder="1" applyAlignment="1">
      <alignment horizontal="center" vertical="center" wrapText="1"/>
    </xf>
    <xf numFmtId="0" fontId="17" fillId="24" borderId="8" xfId="0" applyFont="1" applyFill="1" applyBorder="1" applyAlignment="1">
      <alignment horizontal="center" vertical="center" wrapText="1"/>
    </xf>
    <xf numFmtId="0" fontId="17" fillId="24" borderId="2" xfId="0" applyFont="1" applyFill="1" applyBorder="1" applyAlignment="1">
      <alignment horizontal="center" vertical="center"/>
    </xf>
    <xf numFmtId="0" fontId="17" fillId="24" borderId="8" xfId="0" applyFont="1" applyFill="1" applyBorder="1" applyAlignment="1">
      <alignment horizontal="center" vertical="center"/>
    </xf>
    <xf numFmtId="0" fontId="17" fillId="2" borderId="1" xfId="0" applyFont="1" applyFill="1" applyBorder="1" applyAlignment="1">
      <alignment horizontal="center" vertical="center" wrapText="1"/>
    </xf>
    <xf numFmtId="0" fontId="3" fillId="24" borderId="0" xfId="0" applyFont="1" applyFill="1" applyAlignment="1">
      <alignment horizontal="right" vertical="center"/>
    </xf>
    <xf numFmtId="0" fontId="0" fillId="0" borderId="0" xfId="0" applyAlignment="1">
      <alignment horizontal="center" vertical="center"/>
    </xf>
    <xf numFmtId="0" fontId="17" fillId="24" borderId="1" xfId="0" applyFont="1" applyFill="1" applyBorder="1" applyAlignment="1">
      <alignment horizontal="center" vertical="center"/>
    </xf>
    <xf numFmtId="0" fontId="0" fillId="0" borderId="10" xfId="0" applyBorder="1" applyAlignment="1">
      <alignment horizontal="right" vertical="center" wrapText="1" readingOrder="2"/>
    </xf>
    <xf numFmtId="0" fontId="0" fillId="0" borderId="3" xfId="0" applyBorder="1" applyAlignment="1">
      <alignment horizontal="right" vertical="center" readingOrder="2"/>
    </xf>
    <xf numFmtId="0" fontId="0" fillId="0" borderId="3" xfId="0" applyFont="1" applyBorder="1" applyAlignment="1">
      <alignment horizontal="right" vertical="center" readingOrder="2"/>
    </xf>
    <xf numFmtId="0" fontId="0" fillId="0" borderId="4" xfId="0" applyFont="1" applyBorder="1" applyAlignment="1">
      <alignment horizontal="right" vertical="center" readingOrder="2"/>
    </xf>
    <xf numFmtId="0" fontId="54" fillId="0" borderId="0" xfId="0" applyFont="1" applyBorder="1" applyAlignment="1">
      <alignment horizontal="right" vertical="center" readingOrder="2"/>
    </xf>
    <xf numFmtId="0" fontId="12" fillId="23" borderId="18" xfId="0" applyFont="1" applyFill="1" applyBorder="1" applyAlignment="1">
      <alignment horizontal="right" vertical="center" wrapText="1"/>
    </xf>
    <xf numFmtId="0" fontId="12" fillId="23" borderId="19" xfId="0" applyFont="1" applyFill="1" applyBorder="1" applyAlignment="1">
      <alignment horizontal="right" vertical="center" wrapText="1"/>
    </xf>
    <xf numFmtId="0" fontId="0" fillId="0" borderId="1" xfId="0" applyBorder="1" applyAlignment="1">
      <alignment horizontal="right" vertical="center"/>
    </xf>
    <xf numFmtId="0" fontId="2" fillId="0" borderId="11" xfId="0" applyFont="1" applyBorder="1" applyAlignment="1">
      <alignment horizontal="center" vertical="center" readingOrder="1"/>
    </xf>
    <xf numFmtId="0" fontId="0" fillId="0" borderId="0" xfId="0" applyFont="1" applyBorder="1" applyAlignment="1">
      <alignment horizontal="center" vertical="center"/>
    </xf>
    <xf numFmtId="0" fontId="0" fillId="0" borderId="0" xfId="0" applyBorder="1" applyAlignment="1">
      <alignment horizontal="center"/>
    </xf>
    <xf numFmtId="0" fontId="0" fillId="0" borderId="24" xfId="0" applyFont="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14" fontId="0" fillId="4" borderId="13" xfId="0" applyNumberFormat="1" applyFill="1" applyBorder="1" applyAlignment="1">
      <alignment horizontal="center"/>
    </xf>
    <xf numFmtId="14" fontId="0" fillId="4" borderId="5" xfId="0" applyNumberFormat="1" applyFill="1" applyBorder="1" applyAlignment="1">
      <alignment horizontal="center"/>
    </xf>
    <xf numFmtId="0" fontId="2" fillId="5" borderId="1" xfId="0" applyFont="1" applyFill="1" applyBorder="1" applyAlignment="1">
      <alignment horizontal="right"/>
    </xf>
    <xf numFmtId="0" fontId="2" fillId="18" borderId="1" xfId="0" applyFont="1" applyFill="1" applyBorder="1" applyAlignment="1">
      <alignment horizontal="center" vertical="center"/>
    </xf>
    <xf numFmtId="0" fontId="24" fillId="18" borderId="1" xfId="3" applyFont="1" applyFill="1" applyBorder="1" applyAlignment="1" applyProtection="1">
      <alignment horizontal="right" vertical="center"/>
      <protection locked="0"/>
    </xf>
    <xf numFmtId="0" fontId="9" fillId="0" borderId="1" xfId="3" applyFont="1" applyFill="1" applyBorder="1" applyAlignment="1" applyProtection="1">
      <alignment horizontal="right" vertical="top" wrapText="1"/>
      <protection locked="0"/>
    </xf>
    <xf numFmtId="0" fontId="18" fillId="25" borderId="1" xfId="0" applyFont="1" applyFill="1" applyBorder="1" applyAlignment="1">
      <alignment horizontal="right" vertical="center"/>
    </xf>
    <xf numFmtId="3" fontId="18" fillId="25" borderId="13" xfId="0" applyNumberFormat="1" applyFont="1" applyFill="1" applyBorder="1" applyAlignment="1">
      <alignment horizontal="center" vertical="center"/>
    </xf>
    <xf numFmtId="3" fontId="18" fillId="25" borderId="14" xfId="0" applyNumberFormat="1" applyFont="1" applyFill="1" applyBorder="1" applyAlignment="1">
      <alignment horizontal="center" vertical="center"/>
    </xf>
    <xf numFmtId="3" fontId="18" fillId="25" borderId="5" xfId="0" applyNumberFormat="1" applyFont="1" applyFill="1" applyBorder="1" applyAlignment="1">
      <alignment horizontal="center" vertical="center"/>
    </xf>
    <xf numFmtId="0" fontId="11" fillId="23" borderId="19" xfId="0" applyFont="1" applyFill="1" applyBorder="1" applyAlignment="1">
      <alignment horizontal="center" vertical="center" wrapText="1"/>
    </xf>
    <xf numFmtId="0" fontId="11" fillId="23" borderId="20" xfId="0" applyFont="1" applyFill="1" applyBorder="1" applyAlignment="1">
      <alignment horizontal="center" vertical="center" wrapText="1"/>
    </xf>
    <xf numFmtId="0" fontId="11" fillId="13" borderId="9" xfId="0" applyFont="1" applyFill="1" applyBorder="1" applyAlignment="1" applyProtection="1">
      <alignment horizontal="right" vertical="center" wrapText="1" indent="1"/>
      <protection locked="0"/>
    </xf>
    <xf numFmtId="0" fontId="11" fillId="13" borderId="1" xfId="0" applyFont="1" applyFill="1" applyBorder="1" applyAlignment="1" applyProtection="1">
      <alignment horizontal="right" vertical="center" wrapText="1" indent="1"/>
      <protection locked="0"/>
    </xf>
    <xf numFmtId="0" fontId="57" fillId="13" borderId="1" xfId="0" applyFont="1" applyFill="1" applyBorder="1" applyAlignment="1" applyProtection="1">
      <alignment horizontal="right" vertical="center" wrapText="1"/>
      <protection locked="0"/>
    </xf>
    <xf numFmtId="0" fontId="57" fillId="13" borderId="10" xfId="0" applyFont="1" applyFill="1" applyBorder="1" applyAlignment="1" applyProtection="1">
      <alignment horizontal="right" vertical="center" wrapText="1"/>
      <protection locked="0"/>
    </xf>
    <xf numFmtId="0" fontId="11" fillId="13" borderId="15" xfId="0" applyFont="1" applyFill="1" applyBorder="1" applyAlignment="1" applyProtection="1">
      <alignment horizontal="right" vertical="center" wrapText="1" indent="1"/>
      <protection locked="0"/>
    </xf>
    <xf numFmtId="0" fontId="11" fillId="13" borderId="3" xfId="0" applyFont="1" applyFill="1" applyBorder="1" applyAlignment="1" applyProtection="1">
      <alignment horizontal="right" vertical="center" wrapText="1" indent="1"/>
      <protection locked="0"/>
    </xf>
    <xf numFmtId="0" fontId="57" fillId="13" borderId="3" xfId="0" applyFont="1" applyFill="1" applyBorder="1" applyAlignment="1" applyProtection="1">
      <alignment horizontal="right" vertical="center" wrapText="1"/>
      <protection locked="0"/>
    </xf>
    <xf numFmtId="0" fontId="57" fillId="13" borderId="4" xfId="0" applyFont="1" applyFill="1" applyBorder="1" applyAlignment="1" applyProtection="1">
      <alignment horizontal="right" vertical="center" wrapText="1"/>
      <protection locked="0"/>
    </xf>
    <xf numFmtId="0" fontId="17" fillId="24" borderId="13" xfId="0" applyFont="1" applyFill="1" applyBorder="1" applyAlignment="1">
      <alignment horizontal="center" vertical="center"/>
    </xf>
    <xf numFmtId="0" fontId="17" fillId="24" borderId="5" xfId="0" applyFont="1" applyFill="1" applyBorder="1" applyAlignment="1">
      <alignment horizontal="center" vertical="center"/>
    </xf>
    <xf numFmtId="9" fontId="18" fillId="25" borderId="22" xfId="8" applyFont="1" applyFill="1" applyBorder="1" applyAlignment="1">
      <alignment horizontal="center" vertical="center"/>
    </xf>
    <xf numFmtId="9" fontId="18" fillId="25" borderId="7" xfId="8" applyFont="1" applyFill="1" applyBorder="1" applyAlignment="1">
      <alignment horizontal="center" vertical="center"/>
    </xf>
    <xf numFmtId="1" fontId="18" fillId="25" borderId="13" xfId="0" applyNumberFormat="1" applyFont="1" applyFill="1" applyBorder="1" applyAlignment="1">
      <alignment horizontal="center" vertical="center"/>
    </xf>
    <xf numFmtId="1" fontId="18" fillId="25" borderId="5" xfId="0" applyNumberFormat="1" applyFont="1" applyFill="1" applyBorder="1" applyAlignment="1">
      <alignment horizontal="center" vertical="center"/>
    </xf>
    <xf numFmtId="9" fontId="18" fillId="25" borderId="13" xfId="8" applyFont="1" applyFill="1" applyBorder="1" applyAlignment="1">
      <alignment horizontal="center" vertical="center"/>
    </xf>
    <xf numFmtId="9" fontId="18" fillId="25" borderId="5" xfId="8" applyFont="1" applyFill="1" applyBorder="1" applyAlignment="1">
      <alignment horizontal="center" vertical="center"/>
    </xf>
    <xf numFmtId="1" fontId="18" fillId="25" borderId="22" xfId="0" applyNumberFormat="1" applyFont="1" applyFill="1" applyBorder="1" applyAlignment="1">
      <alignment horizontal="center" vertical="center"/>
    </xf>
    <xf numFmtId="1" fontId="18" fillId="25" borderId="7" xfId="0" applyNumberFormat="1" applyFont="1" applyFill="1" applyBorder="1" applyAlignment="1">
      <alignment horizontal="center" vertical="center"/>
    </xf>
    <xf numFmtId="0" fontId="23" fillId="0" borderId="34" xfId="0" applyFont="1" applyBorder="1" applyAlignment="1" applyProtection="1">
      <alignment horizontal="center" vertical="center" wrapText="1"/>
      <protection locked="0"/>
    </xf>
    <xf numFmtId="0" fontId="23" fillId="0" borderId="35"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164" fontId="17" fillId="2" borderId="13" xfId="1" applyNumberFormat="1" applyFont="1" applyFill="1" applyBorder="1" applyAlignment="1">
      <alignment vertical="center"/>
    </xf>
    <xf numFmtId="164" fontId="17" fillId="2" borderId="5" xfId="1" applyNumberFormat="1" applyFont="1" applyFill="1" applyBorder="1" applyAlignment="1">
      <alignment vertical="center"/>
    </xf>
    <xf numFmtId="0" fontId="12" fillId="23" borderId="37" xfId="0" applyFont="1" applyFill="1" applyBorder="1" applyAlignment="1" applyProtection="1">
      <alignment horizontal="center" vertical="center"/>
    </xf>
    <xf numFmtId="0" fontId="12" fillId="23" borderId="38" xfId="0" applyFont="1" applyFill="1" applyBorder="1" applyAlignment="1" applyProtection="1">
      <alignment horizontal="center" vertical="center"/>
    </xf>
    <xf numFmtId="0" fontId="12" fillId="23" borderId="39" xfId="0" applyFont="1" applyFill="1" applyBorder="1" applyAlignment="1" applyProtection="1">
      <alignment horizontal="center" vertical="center"/>
    </xf>
    <xf numFmtId="0" fontId="12" fillId="23" borderId="27" xfId="0" applyFont="1" applyFill="1" applyBorder="1" applyAlignment="1" applyProtection="1">
      <alignment horizontal="center" vertical="center"/>
    </xf>
    <xf numFmtId="0" fontId="12" fillId="23" borderId="0" xfId="0" applyFont="1" applyFill="1" applyBorder="1" applyAlignment="1" applyProtection="1">
      <alignment horizontal="center" vertical="center"/>
    </xf>
    <xf numFmtId="0" fontId="12" fillId="23" borderId="17" xfId="0" applyFont="1" applyFill="1" applyBorder="1" applyAlignment="1" applyProtection="1">
      <alignment horizontal="center" vertical="center"/>
    </xf>
    <xf numFmtId="0" fontId="12" fillId="23" borderId="41" xfId="0" applyFont="1" applyFill="1" applyBorder="1" applyAlignment="1" applyProtection="1">
      <alignment horizontal="center" vertical="center"/>
    </xf>
    <xf numFmtId="0" fontId="12" fillId="23" borderId="16" xfId="0" applyFont="1" applyFill="1" applyBorder="1" applyAlignment="1" applyProtection="1">
      <alignment horizontal="center" vertical="center"/>
    </xf>
    <xf numFmtId="0" fontId="12" fillId="23" borderId="7" xfId="0" applyFont="1" applyFill="1" applyBorder="1" applyAlignment="1" applyProtection="1">
      <alignment horizontal="center" vertical="center"/>
    </xf>
    <xf numFmtId="0" fontId="12" fillId="23" borderId="40" xfId="0" applyFont="1" applyFill="1" applyBorder="1" applyAlignment="1" applyProtection="1">
      <alignment horizontal="center" vertical="center"/>
    </xf>
    <xf numFmtId="0" fontId="12" fillId="23" borderId="33" xfId="0" applyFont="1" applyFill="1" applyBorder="1" applyAlignment="1" applyProtection="1">
      <alignment horizontal="center" vertical="center"/>
    </xf>
    <xf numFmtId="0" fontId="12" fillId="23" borderId="19" xfId="0" applyFont="1" applyFill="1" applyBorder="1" applyAlignment="1" applyProtection="1">
      <alignment horizontal="center" vertical="center"/>
    </xf>
    <xf numFmtId="0" fontId="12" fillId="23" borderId="20" xfId="0" applyFont="1" applyFill="1" applyBorder="1" applyAlignment="1" applyProtection="1">
      <alignment horizontal="center" vertical="center"/>
    </xf>
    <xf numFmtId="0" fontId="12" fillId="8" borderId="5" xfId="0" applyFont="1" applyFill="1" applyBorder="1" applyAlignment="1" applyProtection="1">
      <alignment horizontal="center" vertical="center"/>
    </xf>
    <xf numFmtId="0" fontId="12" fillId="8" borderId="1" xfId="0" applyFont="1" applyFill="1" applyBorder="1" applyAlignment="1" applyProtection="1">
      <alignment horizontal="center" vertical="center"/>
    </xf>
    <xf numFmtId="0" fontId="12" fillId="8" borderId="1" xfId="0" applyFont="1" applyFill="1" applyBorder="1" applyAlignment="1" applyProtection="1">
      <alignment horizontal="center" vertical="center" wrapText="1"/>
    </xf>
    <xf numFmtId="0" fontId="12" fillId="8" borderId="10" xfId="0" applyFont="1" applyFill="1" applyBorder="1" applyAlignment="1" applyProtection="1">
      <alignment horizontal="center" vertical="center"/>
    </xf>
    <xf numFmtId="3" fontId="18" fillId="0" borderId="1" xfId="0" applyNumberFormat="1" applyFont="1" applyBorder="1" applyAlignment="1">
      <alignment horizontal="right"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2" fillId="23" borderId="19" xfId="0" applyFont="1" applyFill="1" applyBorder="1" applyAlignment="1">
      <alignment horizontal="center" vertical="center" wrapText="1"/>
    </xf>
    <xf numFmtId="0" fontId="55" fillId="23" borderId="19" xfId="0" applyFont="1" applyFill="1" applyBorder="1" applyAlignment="1">
      <alignment vertical="center"/>
    </xf>
    <xf numFmtId="0" fontId="55" fillId="23" borderId="20" xfId="0" applyFont="1" applyFill="1" applyBorder="1" applyAlignment="1">
      <alignment vertical="center"/>
    </xf>
    <xf numFmtId="0" fontId="12" fillId="8" borderId="1"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23" borderId="9" xfId="0" applyFont="1" applyFill="1" applyBorder="1" applyAlignment="1">
      <alignment horizontal="center" vertical="center"/>
    </xf>
    <xf numFmtId="0" fontId="12" fillId="23" borderId="1" xfId="0" applyFont="1" applyFill="1" applyBorder="1" applyAlignment="1">
      <alignment horizontal="center" vertical="center"/>
    </xf>
    <xf numFmtId="0" fontId="55" fillId="23" borderId="1" xfId="0" applyFont="1" applyFill="1" applyBorder="1" applyAlignment="1">
      <alignment vertical="center"/>
    </xf>
    <xf numFmtId="0" fontId="8" fillId="8" borderId="1" xfId="0" applyFont="1" applyFill="1" applyBorder="1" applyAlignment="1">
      <alignment horizontal="center" vertical="center" wrapText="1"/>
    </xf>
    <xf numFmtId="0" fontId="9" fillId="0" borderId="23"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12" xfId="0" applyFont="1" applyBorder="1" applyAlignment="1">
      <alignment horizontal="center" vertical="center" readingOrder="2"/>
    </xf>
    <xf numFmtId="0" fontId="9" fillId="0" borderId="22"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7" xfId="0" applyFont="1" applyBorder="1" applyAlignment="1">
      <alignment horizontal="center" vertical="center" readingOrder="2"/>
    </xf>
    <xf numFmtId="0" fontId="9" fillId="0" borderId="2" xfId="0" applyFont="1" applyBorder="1" applyAlignment="1">
      <alignment horizontal="center" vertical="center" readingOrder="2"/>
    </xf>
    <xf numFmtId="0" fontId="9" fillId="0" borderId="8" xfId="0" applyFont="1" applyBorder="1" applyAlignment="1">
      <alignment horizontal="center" vertical="center" readingOrder="2"/>
    </xf>
    <xf numFmtId="171" fontId="44" fillId="23" borderId="34" xfId="2" applyNumberFormat="1" applyFont="1" applyFill="1" applyBorder="1" applyAlignment="1">
      <alignment horizontal="center" vertical="center"/>
    </xf>
    <xf numFmtId="171" fontId="44" fillId="23" borderId="35" xfId="2" applyNumberFormat="1" applyFont="1" applyFill="1" applyBorder="1" applyAlignment="1">
      <alignment horizontal="center" vertical="center"/>
    </xf>
    <xf numFmtId="171" fontId="44" fillId="23" borderId="36" xfId="2" applyNumberFormat="1" applyFont="1" applyFill="1" applyBorder="1" applyAlignment="1">
      <alignment horizontal="center" vertical="center"/>
    </xf>
    <xf numFmtId="0" fontId="54" fillId="0" borderId="0" xfId="0" applyFont="1" applyAlignment="1">
      <alignment horizontal="center" vertical="center"/>
    </xf>
    <xf numFmtId="0" fontId="54" fillId="0" borderId="0" xfId="0" applyFont="1" applyAlignment="1">
      <alignment horizontal="right" vertical="center" readingOrder="2"/>
    </xf>
    <xf numFmtId="0" fontId="12" fillId="23" borderId="18" xfId="0" applyFont="1" applyFill="1" applyBorder="1" applyAlignment="1">
      <alignment horizontal="center" vertical="center"/>
    </xf>
    <xf numFmtId="0" fontId="12" fillId="23" borderId="19" xfId="0" applyFont="1" applyFill="1" applyBorder="1" applyAlignment="1">
      <alignment horizontal="center" vertical="center"/>
    </xf>
    <xf numFmtId="0" fontId="12" fillId="23" borderId="20" xfId="0" applyFont="1" applyFill="1" applyBorder="1" applyAlignment="1">
      <alignment horizontal="center" vertical="center"/>
    </xf>
    <xf numFmtId="0" fontId="17" fillId="20" borderId="13" xfId="0" applyFont="1" applyFill="1" applyBorder="1" applyAlignment="1">
      <alignment horizontal="center" vertical="center" wrapText="1"/>
    </xf>
    <xf numFmtId="0" fontId="17" fillId="20" borderId="14" xfId="0" applyFont="1" applyFill="1" applyBorder="1" applyAlignment="1">
      <alignment horizontal="center" vertical="center" wrapText="1"/>
    </xf>
    <xf numFmtId="0" fontId="17" fillId="20" borderId="21" xfId="0" applyFont="1" applyFill="1" applyBorder="1" applyAlignment="1">
      <alignment horizontal="center" vertical="center" wrapText="1"/>
    </xf>
    <xf numFmtId="0" fontId="54" fillId="0" borderId="26" xfId="0" applyFont="1" applyBorder="1" applyAlignment="1">
      <alignment horizontal="right" vertical="center" wrapText="1"/>
    </xf>
    <xf numFmtId="0" fontId="54" fillId="0" borderId="11" xfId="0" applyFont="1" applyBorder="1" applyAlignment="1">
      <alignment horizontal="right" vertical="center"/>
    </xf>
    <xf numFmtId="0" fontId="54" fillId="0" borderId="12" xfId="0" applyFont="1" applyBorder="1" applyAlignment="1">
      <alignment horizontal="right" vertical="center"/>
    </xf>
    <xf numFmtId="0" fontId="54" fillId="0" borderId="27" xfId="0" applyFont="1" applyBorder="1" applyAlignment="1">
      <alignment horizontal="right" vertical="center" wrapText="1"/>
    </xf>
    <xf numFmtId="0" fontId="54" fillId="0" borderId="0" xfId="0" applyFont="1" applyBorder="1" applyAlignment="1">
      <alignment horizontal="right" vertical="center"/>
    </xf>
    <xf numFmtId="0" fontId="54" fillId="0" borderId="17" xfId="0" applyFont="1" applyBorder="1" applyAlignment="1">
      <alignment horizontal="right" vertical="center"/>
    </xf>
    <xf numFmtId="0" fontId="54" fillId="0" borderId="28" xfId="0" applyFont="1" applyBorder="1" applyAlignment="1">
      <alignment horizontal="right" vertical="center"/>
    </xf>
    <xf numFmtId="0" fontId="54" fillId="0" borderId="29" xfId="0" applyFont="1" applyBorder="1" applyAlignment="1">
      <alignment horizontal="right" vertical="center"/>
    </xf>
    <xf numFmtId="0" fontId="54" fillId="0" borderId="30" xfId="0" applyFont="1" applyBorder="1" applyAlignment="1">
      <alignment horizontal="right" vertical="center"/>
    </xf>
    <xf numFmtId="17" fontId="54" fillId="0" borderId="2" xfId="0" applyNumberFormat="1" applyFont="1" applyBorder="1" applyAlignment="1">
      <alignment horizontal="center" vertical="center" textRotation="180"/>
    </xf>
    <xf numFmtId="17" fontId="54" fillId="0" borderId="6" xfId="0" applyNumberFormat="1" applyFont="1" applyBorder="1" applyAlignment="1">
      <alignment horizontal="center" vertical="center" textRotation="180"/>
    </xf>
    <xf numFmtId="0" fontId="54" fillId="0" borderId="25" xfId="0" applyFont="1" applyBorder="1" applyAlignment="1">
      <alignment horizontal="center" vertical="center" textRotation="180"/>
    </xf>
    <xf numFmtId="0" fontId="17" fillId="20" borderId="23" xfId="0" applyFont="1" applyFill="1" applyBorder="1" applyAlignment="1">
      <alignment horizontal="center" vertical="center" wrapText="1"/>
    </xf>
    <xf numFmtId="0" fontId="17" fillId="20" borderId="11" xfId="0" applyFont="1" applyFill="1" applyBorder="1" applyAlignment="1">
      <alignment horizontal="center" vertical="center" wrapText="1"/>
    </xf>
    <xf numFmtId="0" fontId="17" fillId="20" borderId="12" xfId="0" applyFont="1" applyFill="1" applyBorder="1" applyAlignment="1">
      <alignment horizontal="center" vertical="center" wrapText="1"/>
    </xf>
    <xf numFmtId="0" fontId="17" fillId="20" borderId="22" xfId="0" applyFont="1" applyFill="1" applyBorder="1" applyAlignment="1">
      <alignment horizontal="center" vertical="center" wrapText="1"/>
    </xf>
    <xf numFmtId="0" fontId="17" fillId="20" borderId="16" xfId="0" applyFont="1" applyFill="1" applyBorder="1" applyAlignment="1">
      <alignment horizontal="center" vertical="center" wrapText="1"/>
    </xf>
    <xf numFmtId="0" fontId="17" fillId="20" borderId="7" xfId="0" applyFont="1" applyFill="1" applyBorder="1" applyAlignment="1">
      <alignment horizontal="center" vertical="center" wrapText="1"/>
    </xf>
    <xf numFmtId="0" fontId="17" fillId="20" borderId="3" xfId="0" applyFont="1" applyFill="1" applyBorder="1" applyAlignment="1">
      <alignment horizontal="right" vertical="center" wrapText="1" readingOrder="2"/>
    </xf>
    <xf numFmtId="0" fontId="12" fillId="23" borderId="31" xfId="0" applyFont="1" applyFill="1" applyBorder="1" applyAlignment="1">
      <alignment horizontal="center" vertical="center"/>
    </xf>
    <xf numFmtId="0" fontId="12" fillId="23" borderId="32" xfId="0" applyFont="1" applyFill="1" applyBorder="1" applyAlignment="1">
      <alignment horizontal="center" vertical="center"/>
    </xf>
    <xf numFmtId="0" fontId="12" fillId="23" borderId="33" xfId="0" applyFont="1" applyFill="1" applyBorder="1" applyAlignment="1">
      <alignment horizontal="center" vertical="center"/>
    </xf>
    <xf numFmtId="164" fontId="0" fillId="0" borderId="2" xfId="0" applyNumberFormat="1" applyBorder="1" applyAlignment="1">
      <alignment horizontal="center" vertical="center" wrapText="1"/>
    </xf>
    <xf numFmtId="164" fontId="0" fillId="0" borderId="6" xfId="0" applyNumberFormat="1" applyBorder="1" applyAlignment="1">
      <alignment horizontal="center" vertical="center" wrapText="1"/>
    </xf>
    <xf numFmtId="164" fontId="0" fillId="0" borderId="8" xfId="0" applyNumberFormat="1" applyBorder="1" applyAlignment="1">
      <alignment horizontal="center" vertical="center" wrapText="1"/>
    </xf>
    <xf numFmtId="1" fontId="0" fillId="0" borderId="23" xfId="0" applyNumberFormat="1" applyBorder="1" applyAlignment="1">
      <alignment horizontal="center" vertical="center" wrapText="1"/>
    </xf>
    <xf numFmtId="1" fontId="0" fillId="0" borderId="24" xfId="0" applyNumberFormat="1" applyBorder="1" applyAlignment="1">
      <alignment horizontal="center" vertical="center" wrapText="1"/>
    </xf>
    <xf numFmtId="1" fontId="0" fillId="0" borderId="22" xfId="0" applyNumberFormat="1" applyBorder="1" applyAlignment="1">
      <alignment horizontal="center" vertical="center" wrapText="1"/>
    </xf>
    <xf numFmtId="0" fontId="0" fillId="0" borderId="1" xfId="0" applyBorder="1" applyAlignment="1">
      <alignment vertical="center"/>
    </xf>
    <xf numFmtId="49" fontId="23" fillId="0" borderId="1" xfId="3" applyNumberFormat="1" applyFont="1" applyFill="1" applyBorder="1" applyAlignment="1">
      <alignment horizontal="right" readingOrder="2"/>
    </xf>
    <xf numFmtId="0" fontId="23" fillId="0" borderId="1" xfId="3" applyFont="1" applyFill="1" applyBorder="1" applyAlignment="1" applyProtection="1">
      <alignment horizontal="right" vertical="top" wrapText="1"/>
      <protection locked="0"/>
    </xf>
    <xf numFmtId="0" fontId="23" fillId="0" borderId="1" xfId="3" applyFont="1" applyFill="1" applyBorder="1" applyAlignment="1" applyProtection="1">
      <alignment horizontal="right" vertical="top"/>
      <protection locked="0"/>
    </xf>
    <xf numFmtId="0" fontId="23" fillId="4" borderId="1" xfId="3" applyFont="1" applyFill="1" applyBorder="1" applyAlignment="1" applyProtection="1">
      <alignment horizontal="right" vertical="center" wrapText="1" readingOrder="2"/>
      <protection locked="0"/>
    </xf>
    <xf numFmtId="49" fontId="23" fillId="0" borderId="1" xfId="3" applyNumberFormat="1" applyFont="1" applyFill="1" applyBorder="1" applyAlignment="1">
      <alignment horizontal="right" vertical="center" wrapText="1" readingOrder="2"/>
    </xf>
    <xf numFmtId="3" fontId="23" fillId="0" borderId="1" xfId="3" applyNumberFormat="1" applyFont="1" applyFill="1" applyBorder="1" applyAlignment="1" applyProtection="1">
      <alignment horizontal="right" vertical="center"/>
      <protection locked="0"/>
    </xf>
    <xf numFmtId="0" fontId="23" fillId="0" borderId="1" xfId="3" applyFont="1" applyFill="1" applyBorder="1" applyAlignment="1" applyProtection="1">
      <alignment horizontal="right" vertical="center"/>
      <protection locked="0"/>
    </xf>
    <xf numFmtId="49" fontId="23" fillId="0" borderId="1" xfId="3" applyNumberFormat="1" applyFont="1" applyFill="1" applyBorder="1" applyAlignment="1">
      <alignment horizontal="right" vertical="center" readingOrder="2"/>
    </xf>
    <xf numFmtId="164" fontId="23" fillId="4" borderId="1" xfId="2" applyNumberFormat="1" applyFont="1" applyFill="1" applyBorder="1" applyAlignment="1" applyProtection="1">
      <alignment horizontal="center"/>
    </xf>
    <xf numFmtId="164" fontId="24" fillId="3" borderId="1" xfId="2" applyNumberFormat="1" applyFont="1" applyFill="1" applyBorder="1" applyAlignment="1" applyProtection="1">
      <alignment horizontal="center"/>
    </xf>
    <xf numFmtId="164" fontId="23" fillId="3" borderId="1" xfId="2" applyNumberFormat="1" applyFont="1" applyFill="1" applyBorder="1" applyAlignment="1" applyProtection="1">
      <alignment horizontal="center"/>
    </xf>
    <xf numFmtId="0" fontId="24" fillId="4" borderId="1" xfId="3" applyFont="1" applyFill="1" applyBorder="1" applyAlignment="1" applyProtection="1">
      <alignment vertical="center"/>
      <protection locked="0"/>
    </xf>
    <xf numFmtId="0" fontId="24" fillId="4" borderId="1" xfId="3" applyFont="1" applyFill="1" applyBorder="1" applyAlignment="1" applyProtection="1">
      <alignment horizontal="right" vertical="center"/>
      <protection locked="0"/>
    </xf>
    <xf numFmtId="0" fontId="24" fillId="4" borderId="1" xfId="3" applyFont="1" applyFill="1" applyBorder="1" applyAlignment="1" applyProtection="1">
      <alignment horizontal="right"/>
      <protection locked="0"/>
    </xf>
    <xf numFmtId="0" fontId="24" fillId="4" borderId="1" xfId="3" applyFont="1" applyFill="1" applyBorder="1" applyAlignment="1" applyProtection="1">
      <alignment horizontal="right" vertical="top"/>
      <protection locked="0"/>
    </xf>
    <xf numFmtId="0" fontId="24" fillId="4" borderId="1" xfId="3" applyFont="1" applyFill="1" applyBorder="1" applyAlignment="1" applyProtection="1">
      <alignment horizontal="center" vertical="top"/>
      <protection locked="0"/>
    </xf>
    <xf numFmtId="164" fontId="23" fillId="4" borderId="1" xfId="2" applyNumberFormat="1" applyFont="1" applyFill="1" applyBorder="1" applyAlignment="1" applyProtection="1">
      <alignment horizontal="left"/>
    </xf>
    <xf numFmtId="0" fontId="8" fillId="18" borderId="1" xfId="3" applyNumberFormat="1" applyFont="1" applyFill="1" applyBorder="1" applyAlignment="1" applyProtection="1">
      <alignment horizontal="center" vertical="center" wrapText="1"/>
    </xf>
    <xf numFmtId="168" fontId="8" fillId="18" borderId="1" xfId="1" applyNumberFormat="1" applyFont="1" applyFill="1" applyBorder="1" applyAlignment="1" applyProtection="1">
      <alignment horizontal="center" vertical="center" wrapText="1"/>
    </xf>
    <xf numFmtId="164" fontId="24" fillId="4" borderId="1" xfId="2" applyNumberFormat="1" applyFont="1" applyFill="1" applyBorder="1" applyAlignment="1" applyProtection="1">
      <alignment horizontal="center"/>
    </xf>
    <xf numFmtId="164" fontId="23" fillId="4" borderId="1" xfId="2" applyNumberFormat="1" applyFont="1" applyFill="1" applyBorder="1" applyAlignment="1" applyProtection="1">
      <alignment horizontal="left" vertical="center"/>
    </xf>
    <xf numFmtId="164" fontId="8" fillId="18" borderId="1" xfId="3" applyNumberFormat="1" applyFont="1" applyFill="1" applyBorder="1" applyAlignment="1" applyProtection="1">
      <alignment horizontal="center"/>
    </xf>
    <xf numFmtId="3" fontId="8" fillId="18" borderId="1" xfId="3" applyNumberFormat="1" applyFont="1" applyFill="1" applyBorder="1" applyAlignment="1" applyProtection="1">
      <alignment horizontal="center"/>
    </xf>
    <xf numFmtId="3" fontId="23" fillId="0" borderId="1" xfId="3" applyNumberFormat="1" applyFont="1" applyFill="1" applyBorder="1" applyAlignment="1" applyProtection="1">
      <alignment horizontal="center"/>
      <protection locked="0"/>
    </xf>
    <xf numFmtId="0" fontId="23" fillId="0" borderId="1" xfId="3" applyFont="1" applyFill="1" applyBorder="1" applyAlignment="1" applyProtection="1">
      <alignment horizontal="center"/>
      <protection locked="0"/>
    </xf>
    <xf numFmtId="0" fontId="30" fillId="0" borderId="1" xfId="3" applyFont="1" applyFill="1" applyBorder="1" applyAlignment="1" applyProtection="1">
      <alignment horizontal="right" vertical="center"/>
      <protection locked="0"/>
    </xf>
    <xf numFmtId="0" fontId="29" fillId="18" borderId="1" xfId="3" applyFont="1" applyFill="1" applyBorder="1" applyAlignment="1" applyProtection="1">
      <alignment horizontal="right"/>
      <protection locked="0"/>
    </xf>
    <xf numFmtId="0" fontId="9" fillId="0" borderId="1" xfId="3" applyFont="1" applyFill="1" applyBorder="1" applyAlignment="1" applyProtection="1">
      <alignment horizontal="right" vertical="center" wrapText="1"/>
      <protection locked="0"/>
    </xf>
    <xf numFmtId="0" fontId="23" fillId="0" borderId="1" xfId="3" applyFont="1" applyFill="1" applyBorder="1" applyAlignment="1" applyProtection="1">
      <alignment horizontal="right" vertical="center" wrapText="1"/>
      <protection locked="0"/>
    </xf>
    <xf numFmtId="0" fontId="23" fillId="0" borderId="1" xfId="3" applyFont="1" applyFill="1" applyBorder="1" applyAlignment="1" applyProtection="1">
      <alignment horizontal="center" vertical="center"/>
      <protection locked="0"/>
    </xf>
    <xf numFmtId="164" fontId="23" fillId="0" borderId="1" xfId="3" applyNumberFormat="1" applyFont="1" applyFill="1" applyBorder="1" applyAlignment="1" applyProtection="1">
      <alignment horizontal="center" vertical="center"/>
      <protection locked="0"/>
    </xf>
    <xf numFmtId="0" fontId="30" fillId="0" borderId="1" xfId="3" applyFont="1" applyFill="1" applyBorder="1" applyAlignment="1" applyProtection="1">
      <alignment horizontal="right"/>
      <protection locked="0"/>
    </xf>
    <xf numFmtId="0" fontId="30" fillId="0" borderId="1" xfId="3" applyFont="1" applyFill="1" applyBorder="1" applyAlignment="1" applyProtection="1">
      <alignment horizontal="center" vertical="top"/>
      <protection locked="0"/>
    </xf>
    <xf numFmtId="0" fontId="30" fillId="0" borderId="1" xfId="3" applyFont="1" applyFill="1" applyBorder="1" applyAlignment="1" applyProtection="1">
      <alignment horizontal="center"/>
      <protection locked="0"/>
    </xf>
    <xf numFmtId="0" fontId="30" fillId="0" borderId="1" xfId="3" applyFont="1" applyFill="1" applyBorder="1" applyAlignment="1" applyProtection="1">
      <alignment horizontal="right" vertical="center" wrapText="1" readingOrder="2"/>
      <protection locked="0"/>
    </xf>
    <xf numFmtId="0" fontId="28" fillId="0" borderId="1" xfId="3" applyFont="1" applyFill="1" applyBorder="1" applyAlignment="1" applyProtection="1">
      <alignment horizontal="right" vertical="center" wrapText="1"/>
      <protection locked="0"/>
    </xf>
    <xf numFmtId="0" fontId="29" fillId="0" borderId="1" xfId="3" applyFont="1" applyFill="1" applyBorder="1" applyAlignment="1" applyProtection="1">
      <alignment horizontal="right"/>
      <protection locked="0"/>
    </xf>
    <xf numFmtId="0" fontId="29" fillId="0" borderId="1" xfId="3" applyFont="1" applyFill="1" applyBorder="1" applyAlignment="1" applyProtection="1">
      <alignment horizontal="center"/>
      <protection locked="0"/>
    </xf>
    <xf numFmtId="0" fontId="36" fillId="0" borderId="1" xfId="7" applyFill="1" applyBorder="1" applyAlignment="1" applyProtection="1">
      <alignment horizontal="center"/>
      <protection locked="0"/>
    </xf>
    <xf numFmtId="0" fontId="30" fillId="0" borderId="1" xfId="3" applyFont="1" applyFill="1" applyBorder="1" applyAlignment="1">
      <alignment horizontal="right"/>
    </xf>
    <xf numFmtId="0" fontId="30" fillId="0" borderId="1" xfId="4" applyFont="1" applyFill="1" applyBorder="1" applyAlignment="1" applyProtection="1">
      <alignment horizontal="right" wrapText="1"/>
      <protection locked="0"/>
    </xf>
    <xf numFmtId="0" fontId="30" fillId="0" borderId="1" xfId="4" applyFont="1" applyFill="1" applyBorder="1" applyAlignment="1" applyProtection="1">
      <alignment horizontal="center"/>
      <protection locked="0"/>
    </xf>
    <xf numFmtId="0" fontId="30" fillId="0" borderId="1" xfId="4" applyFont="1" applyFill="1" applyBorder="1" applyAlignment="1" applyProtection="1">
      <alignment horizontal="right"/>
      <protection locked="0"/>
    </xf>
    <xf numFmtId="0" fontId="31" fillId="0" borderId="1" xfId="3" applyFont="1" applyFill="1" applyBorder="1" applyAlignment="1" applyProtection="1">
      <alignment horizontal="right" vertical="top" wrapText="1" readingOrder="2"/>
      <protection locked="0"/>
    </xf>
    <xf numFmtId="0" fontId="34" fillId="0" borderId="1" xfId="3" applyFont="1" applyFill="1" applyBorder="1" applyAlignment="1" applyProtection="1">
      <alignment horizontal="right" vertical="top" wrapText="1" readingOrder="2"/>
      <protection locked="0"/>
    </xf>
    <xf numFmtId="0" fontId="30" fillId="0" borderId="1" xfId="4" applyFont="1" applyFill="1" applyBorder="1" applyAlignment="1" applyProtection="1">
      <alignment horizontal="right" vertical="center" wrapText="1"/>
      <protection locked="0"/>
    </xf>
    <xf numFmtId="0" fontId="30" fillId="0" borderId="1" xfId="3" applyFont="1" applyFill="1" applyBorder="1" applyAlignment="1" applyProtection="1">
      <alignment horizontal="center" vertical="center"/>
      <protection locked="0"/>
    </xf>
    <xf numFmtId="0" fontId="26" fillId="0" borderId="1" xfId="3" applyFont="1" applyFill="1" applyBorder="1" applyAlignment="1" applyProtection="1">
      <alignment horizontal="center" vertical="center" wrapText="1"/>
      <protection locked="0"/>
    </xf>
    <xf numFmtId="0" fontId="27" fillId="0" borderId="1" xfId="3" applyFont="1" applyFill="1" applyBorder="1" applyAlignment="1" applyProtection="1">
      <alignment horizontal="center"/>
      <protection locked="0"/>
    </xf>
    <xf numFmtId="0" fontId="28" fillId="0" borderId="1" xfId="3" applyFont="1" applyFill="1" applyBorder="1" applyAlignment="1" applyProtection="1">
      <alignment horizontal="center"/>
      <protection locked="0"/>
    </xf>
    <xf numFmtId="164" fontId="27" fillId="0" borderId="1" xfId="3" applyNumberFormat="1" applyFont="1" applyFill="1" applyBorder="1" applyAlignment="1" applyProtection="1">
      <alignment horizontal="center"/>
      <protection locked="0"/>
    </xf>
    <xf numFmtId="0" fontId="29" fillId="18" borderId="1" xfId="3" applyFont="1" applyFill="1" applyBorder="1" applyAlignment="1" applyProtection="1">
      <alignment horizontal="right" vertical="center"/>
      <protection locked="0"/>
    </xf>
    <xf numFmtId="0" fontId="30" fillId="0" borderId="1" xfId="3" applyFont="1" applyFill="1" applyBorder="1" applyAlignment="1" applyProtection="1">
      <alignment horizontal="right" vertical="center" wrapText="1"/>
      <protection locked="0"/>
    </xf>
    <xf numFmtId="166" fontId="17" fillId="17" borderId="13" xfId="1" applyNumberFormat="1" applyFont="1" applyFill="1" applyBorder="1" applyAlignment="1">
      <alignment horizontal="center" vertical="center"/>
    </xf>
    <xf numFmtId="166" fontId="17" fillId="17" borderId="14" xfId="1" applyNumberFormat="1" applyFont="1" applyFill="1" applyBorder="1" applyAlignment="1">
      <alignment horizontal="center" vertical="center"/>
    </xf>
    <xf numFmtId="166" fontId="17" fillId="17" borderId="5" xfId="1" applyNumberFormat="1" applyFont="1" applyFill="1" applyBorder="1" applyAlignment="1">
      <alignment horizontal="center" vertical="center"/>
    </xf>
    <xf numFmtId="166" fontId="17" fillId="4" borderId="13" xfId="1" applyNumberFormat="1" applyFont="1" applyFill="1" applyBorder="1" applyAlignment="1">
      <alignment horizontal="right" vertical="center"/>
    </xf>
    <xf numFmtId="166" fontId="17" fillId="4" borderId="5" xfId="1" applyNumberFormat="1" applyFont="1" applyFill="1" applyBorder="1" applyAlignment="1">
      <alignment horizontal="right" vertical="center"/>
    </xf>
    <xf numFmtId="166" fontId="17" fillId="6" borderId="13" xfId="1" applyNumberFormat="1" applyFont="1" applyFill="1" applyBorder="1" applyAlignment="1">
      <alignment horizontal="center" vertical="center"/>
    </xf>
    <xf numFmtId="166" fontId="17" fillId="6" borderId="14" xfId="1" applyNumberFormat="1" applyFont="1" applyFill="1" applyBorder="1" applyAlignment="1">
      <alignment horizontal="center" vertical="center"/>
    </xf>
    <xf numFmtId="166" fontId="17" fillId="6" borderId="5" xfId="1" applyNumberFormat="1" applyFont="1" applyFill="1" applyBorder="1" applyAlignment="1">
      <alignment horizontal="center" vertical="center"/>
    </xf>
    <xf numFmtId="0" fontId="41" fillId="6" borderId="1" xfId="0" applyFont="1" applyFill="1" applyBorder="1" applyAlignment="1">
      <alignment horizontal="center" vertical="center"/>
    </xf>
    <xf numFmtId="0" fontId="17" fillId="16" borderId="23" xfId="0" applyFont="1" applyFill="1" applyBorder="1" applyAlignment="1">
      <alignment horizontal="center" vertical="center"/>
    </xf>
    <xf numFmtId="0" fontId="17" fillId="16" borderId="12" xfId="0" applyFont="1" applyFill="1" applyBorder="1" applyAlignment="1">
      <alignment horizontal="center" vertical="center"/>
    </xf>
    <xf numFmtId="0" fontId="17" fillId="16" borderId="22" xfId="0" applyFont="1" applyFill="1" applyBorder="1" applyAlignment="1">
      <alignment horizontal="center" vertical="center"/>
    </xf>
    <xf numFmtId="0" fontId="17" fillId="16" borderId="7" xfId="0" applyFont="1" applyFill="1" applyBorder="1" applyAlignment="1">
      <alignment horizontal="center" vertical="center"/>
    </xf>
    <xf numFmtId="0" fontId="17" fillId="0" borderId="1" xfId="0" applyFont="1" applyBorder="1" applyAlignment="1">
      <alignment horizontal="center" vertical="center"/>
    </xf>
    <xf numFmtId="166" fontId="17" fillId="4" borderId="1" xfId="1" applyNumberFormat="1" applyFont="1" applyFill="1" applyBorder="1" applyAlignment="1">
      <alignment horizontal="center" vertical="center" wrapText="1"/>
    </xf>
    <xf numFmtId="0" fontId="41" fillId="8" borderId="1" xfId="0" applyFont="1" applyFill="1" applyBorder="1" applyAlignment="1">
      <alignment horizontal="center" vertical="center"/>
    </xf>
  </cellXfs>
  <cellStyles count="14">
    <cellStyle name="Comma" xfId="1" builtinId="3"/>
    <cellStyle name="Comma 2" xfId="2"/>
    <cellStyle name="Comma 2 3" xfId="13"/>
    <cellStyle name="Comma 7" xfId="12"/>
    <cellStyle name="Comma 8" xfId="11"/>
    <cellStyle name="Hyperlink" xfId="7" builtinId="8"/>
    <cellStyle name="Normal" xfId="0" builtinId="0"/>
    <cellStyle name="Normal 2" xfId="3"/>
    <cellStyle name="Normal 2 2" xfId="4"/>
    <cellStyle name="Normal 3" xfId="10"/>
    <cellStyle name="Normal 4" xfId="5"/>
    <cellStyle name="Normal_PROVINCE codes 2" xfId="6"/>
    <cellStyle name="Percent" xfId="8" builtinId="5"/>
    <cellStyle name="Percent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externalLink" Target="externalLinks/externalLink3.xml"/><Relationship Id="rId3" Type="http://schemas.openxmlformats.org/officeDocument/2006/relationships/chartsheet" Target="chartsheets/sheet1.xml"/><Relationship Id="rId7" Type="http://schemas.openxmlformats.org/officeDocument/2006/relationships/worksheet" Target="worksheets/sheet6.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1.xml"/><Relationship Id="rId5" Type="http://schemas.openxmlformats.org/officeDocument/2006/relationships/worksheet" Target="worksheets/sheet4.xml"/><Relationship Id="rId15" Type="http://schemas.openxmlformats.org/officeDocument/2006/relationships/styles" Target="styles.xml"/><Relationship Id="rId10" Type="http://schemas.openxmlformats.org/officeDocument/2006/relationships/worksheet" Target="worksheets/sheet9.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'پلان گاری سالانه با نواقص'!$A$1:$K$579</c:f>
              <c:multiLvlStrCache>
                <c:ptCount val="1158"/>
                <c:lvl>
                  <c:pt idx="2">
                    <c:v>قیمت فی واحد</c:v>
                  </c:pt>
                  <c:pt idx="4">
                    <c:v>100000</c:v>
                  </c:pt>
                  <c:pt idx="5">
                    <c:v>800</c:v>
                  </c:pt>
                  <c:pt idx="6">
                    <c:v>0</c:v>
                  </c:pt>
                  <c:pt idx="8">
                    <c:v>قیمت فی واحد</c:v>
                  </c:pt>
                  <c:pt idx="9">
                    <c:v>100000</c:v>
                  </c:pt>
                  <c:pt idx="10">
                    <c:v>800</c:v>
                  </c:pt>
                  <c:pt idx="11">
                    <c:v>0</c:v>
                  </c:pt>
                  <c:pt idx="13">
                    <c:v>قیمت فی واحد</c:v>
                  </c:pt>
                  <c:pt idx="14">
                    <c:v>100000</c:v>
                  </c:pt>
                  <c:pt idx="15">
                    <c:v>800</c:v>
                  </c:pt>
                  <c:pt idx="16">
                    <c:v>700</c:v>
                  </c:pt>
                  <c:pt idx="19">
                    <c:v>قیمت فی واحد</c:v>
                  </c:pt>
                  <c:pt idx="20">
                    <c:v>100000</c:v>
                  </c:pt>
                  <c:pt idx="21">
                    <c:v>800</c:v>
                  </c:pt>
                  <c:pt idx="22">
                    <c:v>0</c:v>
                  </c:pt>
                  <c:pt idx="24">
                    <c:v>قیمت فی واحد</c:v>
                  </c:pt>
                  <c:pt idx="25">
                    <c:v>100000</c:v>
                  </c:pt>
                  <c:pt idx="26">
                    <c:v>800</c:v>
                  </c:pt>
                  <c:pt idx="27">
                    <c:v>0</c:v>
                  </c:pt>
                  <c:pt idx="29">
                    <c:v>قیمت فی واحد</c:v>
                  </c:pt>
                  <c:pt idx="30">
                    <c:v>144000</c:v>
                  </c:pt>
                  <c:pt idx="31">
                    <c:v>10000</c:v>
                  </c:pt>
                  <c:pt idx="33">
                    <c:v>قیمت فی واحد</c:v>
                  </c:pt>
                  <c:pt idx="34">
                    <c:v>144000</c:v>
                  </c:pt>
                  <c:pt idx="35">
                    <c:v>10000</c:v>
                  </c:pt>
                  <c:pt idx="37">
                    <c:v>قیمت فی واحد</c:v>
                  </c:pt>
                  <c:pt idx="38">
                    <c:v>144000</c:v>
                  </c:pt>
                  <c:pt idx="41">
                    <c:v>قیمت فی واحد</c:v>
                  </c:pt>
                  <c:pt idx="42">
                    <c:v>100000</c:v>
                  </c:pt>
                  <c:pt idx="43">
                    <c:v>1500</c:v>
                  </c:pt>
                  <c:pt idx="44">
                    <c:v>800</c:v>
                  </c:pt>
                  <c:pt idx="47">
                    <c:v>قیمت فی واحد</c:v>
                  </c:pt>
                  <c:pt idx="48">
                    <c:v>100000</c:v>
                  </c:pt>
                  <c:pt idx="49">
                    <c:v>700</c:v>
                  </c:pt>
                  <c:pt idx="50">
                    <c:v>250</c:v>
                  </c:pt>
                  <c:pt idx="51">
                    <c:v>800</c:v>
                  </c:pt>
                  <c:pt idx="52">
                    <c:v>10000</c:v>
                  </c:pt>
                  <c:pt idx="54">
                    <c:v>قیمت فی واحد</c:v>
                  </c:pt>
                  <c:pt idx="55">
                    <c:v>100000</c:v>
                  </c:pt>
                  <c:pt idx="56">
                    <c:v>800</c:v>
                  </c:pt>
                  <c:pt idx="59">
                    <c:v>قیمت فی واحد</c:v>
                  </c:pt>
                  <c:pt idx="60">
                    <c:v>100000</c:v>
                  </c:pt>
                  <c:pt idx="61">
                    <c:v>800</c:v>
                  </c:pt>
                  <c:pt idx="64">
                    <c:v>قیمت فی واحد</c:v>
                  </c:pt>
                  <c:pt idx="65">
                    <c:v>60000</c:v>
                  </c:pt>
                  <c:pt idx="70">
                    <c:v>نورم کار</c:v>
                  </c:pt>
                  <c:pt idx="77">
                    <c:v>4000</c:v>
                  </c:pt>
                  <c:pt idx="79">
                    <c:v>125</c:v>
                  </c:pt>
                  <c:pt idx="80">
                    <c:v>250</c:v>
                  </c:pt>
                  <c:pt idx="86">
                    <c:v>قیمت فی واحد</c:v>
                  </c:pt>
                  <c:pt idx="91">
                    <c:v>500</c:v>
                  </c:pt>
                  <c:pt idx="92">
                    <c:v>300</c:v>
                  </c:pt>
                  <c:pt idx="93">
                    <c:v>100</c:v>
                  </c:pt>
                  <c:pt idx="95">
                    <c:v>80</c:v>
                  </c:pt>
                  <c:pt idx="96">
                    <c:v>80</c:v>
                  </c:pt>
                  <c:pt idx="98">
                    <c:v>50</c:v>
                  </c:pt>
                  <c:pt idx="99">
                    <c:v>100</c:v>
                  </c:pt>
                  <c:pt idx="101">
                    <c:v>4000</c:v>
                  </c:pt>
                  <c:pt idx="103">
                    <c:v>100</c:v>
                  </c:pt>
                  <c:pt idx="106">
                    <c:v>125</c:v>
                  </c:pt>
                  <c:pt idx="107">
                    <c:v>250</c:v>
                  </c:pt>
                  <c:pt idx="114">
                    <c:v>قیمت فی واحد</c:v>
                  </c:pt>
                  <c:pt idx="120">
                    <c:v>4000</c:v>
                  </c:pt>
                  <c:pt idx="122">
                    <c:v>250</c:v>
                  </c:pt>
                  <c:pt idx="123">
                    <c:v>250</c:v>
                  </c:pt>
                  <c:pt idx="129">
                    <c:v>قیمت فی واحد</c:v>
                  </c:pt>
                  <c:pt idx="132">
                    <c:v>500</c:v>
                  </c:pt>
                  <c:pt idx="133">
                    <c:v>300</c:v>
                  </c:pt>
                  <c:pt idx="134">
                    <c:v>100</c:v>
                  </c:pt>
                  <c:pt idx="136">
                    <c:v>80</c:v>
                  </c:pt>
                  <c:pt idx="137">
                    <c:v>80</c:v>
                  </c:pt>
                  <c:pt idx="139">
                    <c:v>50</c:v>
                  </c:pt>
                  <c:pt idx="140">
                    <c:v>100</c:v>
                  </c:pt>
                  <c:pt idx="142">
                    <c:v>4000</c:v>
                  </c:pt>
                  <c:pt idx="144">
                    <c:v>100</c:v>
                  </c:pt>
                  <c:pt idx="147">
                    <c:v>125</c:v>
                  </c:pt>
                  <c:pt idx="148">
                    <c:v>250</c:v>
                  </c:pt>
                  <c:pt idx="149">
                    <c:v>250</c:v>
                  </c:pt>
                  <c:pt idx="157">
                    <c:v>قیمت فی واحد</c:v>
                  </c:pt>
                  <c:pt idx="163">
                    <c:v>4000</c:v>
                  </c:pt>
                  <c:pt idx="165">
                    <c:v>125</c:v>
                  </c:pt>
                  <c:pt idx="166">
                    <c:v>250</c:v>
                  </c:pt>
                  <c:pt idx="172">
                    <c:v>قیمت فی واحد</c:v>
                  </c:pt>
                  <c:pt idx="176">
                    <c:v>100</c:v>
                  </c:pt>
                  <c:pt idx="180">
                    <c:v>قیمت فی واحد</c:v>
                  </c:pt>
                  <c:pt idx="184">
                    <c:v>100</c:v>
                  </c:pt>
                  <c:pt idx="187">
                    <c:v>قیمت فی واحد</c:v>
                  </c:pt>
                  <c:pt idx="193">
                    <c:v>500</c:v>
                  </c:pt>
                  <c:pt idx="194">
                    <c:v>300</c:v>
                  </c:pt>
                  <c:pt idx="195">
                    <c:v>100</c:v>
                  </c:pt>
                  <c:pt idx="197">
                    <c:v>80</c:v>
                  </c:pt>
                  <c:pt idx="198">
                    <c:v>80</c:v>
                  </c:pt>
                  <c:pt idx="200">
                    <c:v>50</c:v>
                  </c:pt>
                  <c:pt idx="201">
                    <c:v>100</c:v>
                  </c:pt>
                  <c:pt idx="203">
                    <c:v>4000</c:v>
                  </c:pt>
                  <c:pt idx="205">
                    <c:v>100</c:v>
                  </c:pt>
                  <c:pt idx="208">
                    <c:v>125</c:v>
                  </c:pt>
                  <c:pt idx="210">
                    <c:v>250</c:v>
                  </c:pt>
                  <c:pt idx="216">
                    <c:v>قیمت فی واحد</c:v>
                  </c:pt>
                  <c:pt idx="220">
                    <c:v>500</c:v>
                  </c:pt>
                  <c:pt idx="221">
                    <c:v>300</c:v>
                  </c:pt>
                  <c:pt idx="222">
                    <c:v>100</c:v>
                  </c:pt>
                  <c:pt idx="224">
                    <c:v>80</c:v>
                  </c:pt>
                  <c:pt idx="225">
                    <c:v>80</c:v>
                  </c:pt>
                  <c:pt idx="227">
                    <c:v>50</c:v>
                  </c:pt>
                  <c:pt idx="228">
                    <c:v>100</c:v>
                  </c:pt>
                  <c:pt idx="230">
                    <c:v>4000</c:v>
                  </c:pt>
                  <c:pt idx="232">
                    <c:v>100</c:v>
                  </c:pt>
                  <c:pt idx="237">
                    <c:v>قیمت فی واحد</c:v>
                  </c:pt>
                  <c:pt idx="242">
                    <c:v>4000</c:v>
                  </c:pt>
                  <c:pt idx="245">
                    <c:v>قیمت فی واحد</c:v>
                  </c:pt>
                  <c:pt idx="250">
                    <c:v>4000</c:v>
                  </c:pt>
                  <c:pt idx="253">
                    <c:v>قیمت فی واحد</c:v>
                  </c:pt>
                  <c:pt idx="258">
                    <c:v>4000</c:v>
                  </c:pt>
                  <c:pt idx="261">
                    <c:v>قیمت فی واحد</c:v>
                  </c:pt>
                  <c:pt idx="266">
                    <c:v>4000</c:v>
                  </c:pt>
                  <c:pt idx="269">
                    <c:v>قیمت فی واحد</c:v>
                  </c:pt>
                  <c:pt idx="274">
                    <c:v>4000</c:v>
                  </c:pt>
                  <c:pt idx="276">
                    <c:v>125</c:v>
                  </c:pt>
                  <c:pt idx="277">
                    <c:v>250</c:v>
                  </c:pt>
                  <c:pt idx="283">
                    <c:v>قیمت فی واحد</c:v>
                  </c:pt>
                  <c:pt idx="288">
                    <c:v>4000</c:v>
                  </c:pt>
                  <c:pt idx="290">
                    <c:v>125</c:v>
                  </c:pt>
                  <c:pt idx="291">
                    <c:v>250</c:v>
                  </c:pt>
                  <c:pt idx="297">
                    <c:v>11</c:v>
                  </c:pt>
                  <c:pt idx="298">
                    <c:v>12</c:v>
                  </c:pt>
                  <c:pt idx="302">
                    <c:v>قیمت فی واحد</c:v>
                  </c:pt>
                  <c:pt idx="538">
                    <c:v>قیمت فی واحد</c:v>
                  </c:pt>
                  <c:pt idx="539">
                    <c:v>32000</c:v>
                  </c:pt>
                  <c:pt idx="540">
                    <c:v>80000</c:v>
                  </c:pt>
                  <c:pt idx="541">
                    <c:v>2500</c:v>
                  </c:pt>
                  <c:pt idx="542">
                    <c:v>2147680</c:v>
                  </c:pt>
                  <c:pt idx="544">
                    <c:v>قیمت فی واحد</c:v>
                  </c:pt>
                  <c:pt idx="545">
                    <c:v>12000</c:v>
                  </c:pt>
                  <c:pt idx="546">
                    <c:v>8000</c:v>
                  </c:pt>
                  <c:pt idx="548">
                    <c:v>قیمت فی واحد</c:v>
                  </c:pt>
                  <c:pt idx="549">
                    <c:v>9115</c:v>
                  </c:pt>
                  <c:pt idx="557">
                    <c:v>قیمت به دالر </c:v>
                  </c:pt>
                  <c:pt idx="558">
                    <c:v> 201,492.54 </c:v>
                  </c:pt>
                  <c:pt idx="559">
                    <c:v> 260,591.47 </c:v>
                  </c:pt>
                  <c:pt idx="560">
                    <c:v> 389,259.12 </c:v>
                  </c:pt>
                  <c:pt idx="561">
                    <c:v> 114,546.39 </c:v>
                  </c:pt>
                  <c:pt idx="562">
                    <c:v> 34,110.48 </c:v>
                  </c:pt>
                  <c:pt idx="563">
                    <c:v> 1,000,000 </c:v>
                  </c:pt>
                  <c:pt idx="582">
                    <c:v>تاریخ ختم </c:v>
                  </c:pt>
                  <c:pt idx="583">
                    <c:v>1397/9/30</c:v>
                  </c:pt>
                  <c:pt idx="584">
                    <c:v>1397/9/30</c:v>
                  </c:pt>
                  <c:pt idx="585">
                    <c:v>1397/9/30</c:v>
                  </c:pt>
                  <c:pt idx="587">
                    <c:v>تاریخ ختم </c:v>
                  </c:pt>
                  <c:pt idx="588">
                    <c:v>1397/9/30</c:v>
                  </c:pt>
                  <c:pt idx="589">
                    <c:v>1397/9/30</c:v>
                  </c:pt>
                  <c:pt idx="590">
                    <c:v>1397/9/30</c:v>
                  </c:pt>
                  <c:pt idx="593">
                    <c:v>1397/9/30</c:v>
                  </c:pt>
                  <c:pt idx="594">
                    <c:v>1397/9/30</c:v>
                  </c:pt>
                  <c:pt idx="595">
                    <c:v>1397/9/30</c:v>
                  </c:pt>
                  <c:pt idx="596">
                    <c:v>1397/9/30</c:v>
                  </c:pt>
                  <c:pt idx="598">
                    <c:v>تاریخ ختم </c:v>
                  </c:pt>
                  <c:pt idx="599">
                    <c:v>1397/9/30</c:v>
                  </c:pt>
                  <c:pt idx="600">
                    <c:v>1397/9/30</c:v>
                  </c:pt>
                  <c:pt idx="601">
                    <c:v>1397/9/30</c:v>
                  </c:pt>
                  <c:pt idx="603">
                    <c:v>تاریخ ختم </c:v>
                  </c:pt>
                  <c:pt idx="604">
                    <c:v>1397/9/30</c:v>
                  </c:pt>
                  <c:pt idx="605">
                    <c:v>1397/9/30</c:v>
                  </c:pt>
                  <c:pt idx="606">
                    <c:v>1397/9/30</c:v>
                  </c:pt>
                  <c:pt idx="608">
                    <c:v>تاریخ ختم </c:v>
                  </c:pt>
                  <c:pt idx="609">
                    <c:v>1397/9/30</c:v>
                  </c:pt>
                  <c:pt idx="610">
                    <c:v>1397/9/30</c:v>
                  </c:pt>
                  <c:pt idx="612">
                    <c:v>تاریخ ختم </c:v>
                  </c:pt>
                  <c:pt idx="613">
                    <c:v>1397/9/30</c:v>
                  </c:pt>
                  <c:pt idx="614">
                    <c:v>1397/9/30</c:v>
                  </c:pt>
                  <c:pt idx="616">
                    <c:v>تاریخ ختم </c:v>
                  </c:pt>
                  <c:pt idx="617">
                    <c:v>1397/9/30</c:v>
                  </c:pt>
                  <c:pt idx="618">
                    <c:v>1397/9/30</c:v>
                  </c:pt>
                  <c:pt idx="620">
                    <c:v>تاریخ ختم </c:v>
                  </c:pt>
                  <c:pt idx="621">
                    <c:v>1397/9/30</c:v>
                  </c:pt>
                  <c:pt idx="622">
                    <c:v>1397/9/30</c:v>
                  </c:pt>
                  <c:pt idx="623">
                    <c:v>1397/9/30</c:v>
                  </c:pt>
                  <c:pt idx="624">
                    <c:v>1397/9/30</c:v>
                  </c:pt>
                  <c:pt idx="626">
                    <c:v>تاریخ ختم </c:v>
                  </c:pt>
                  <c:pt idx="627">
                    <c:v>1397/9/30</c:v>
                  </c:pt>
                  <c:pt idx="628">
                    <c:v>1397/9/30</c:v>
                  </c:pt>
                  <c:pt idx="629">
                    <c:v>1397/9/30</c:v>
                  </c:pt>
                  <c:pt idx="630">
                    <c:v>1397/9/30</c:v>
                  </c:pt>
                  <c:pt idx="631">
                    <c:v>1397/9/30</c:v>
                  </c:pt>
                  <c:pt idx="633">
                    <c:v>تاریخ ختم </c:v>
                  </c:pt>
                  <c:pt idx="634">
                    <c:v>1397/9/30</c:v>
                  </c:pt>
                  <c:pt idx="635">
                    <c:v>1397/9/30</c:v>
                  </c:pt>
                  <c:pt idx="636">
                    <c:v>1397/9/30</c:v>
                  </c:pt>
                  <c:pt idx="638">
                    <c:v>تاریخ ختم </c:v>
                  </c:pt>
                  <c:pt idx="639">
                    <c:v>1397/9/30</c:v>
                  </c:pt>
                  <c:pt idx="640">
                    <c:v>1397/9/30</c:v>
                  </c:pt>
                  <c:pt idx="641">
                    <c:v>1397/9/30</c:v>
                  </c:pt>
                  <c:pt idx="643">
                    <c:v>تاریخ ختم </c:v>
                  </c:pt>
                  <c:pt idx="644">
                    <c:v>1397/9/30</c:v>
                  </c:pt>
                  <c:pt idx="645">
                    <c:v>1397/9/30</c:v>
                  </c:pt>
                  <c:pt idx="647">
                    <c:v> -   </c:v>
                  </c:pt>
                  <c:pt idx="650">
                    <c:v>تاریخ ختم</c:v>
                  </c:pt>
                  <c:pt idx="651">
                    <c:v>30دلو</c:v>
                  </c:pt>
                  <c:pt idx="652">
                    <c:v>30حمل</c:v>
                  </c:pt>
                  <c:pt idx="655">
                    <c:v>30قوس </c:v>
                  </c:pt>
                  <c:pt idx="656">
                    <c:v>30قوس </c:v>
                  </c:pt>
                  <c:pt idx="658">
                    <c:v>30عقرب</c:v>
                  </c:pt>
                  <c:pt idx="659">
                    <c:v>30قوس</c:v>
                  </c:pt>
                  <c:pt idx="660">
                    <c:v>30سنبله </c:v>
                  </c:pt>
                  <c:pt idx="661">
                    <c:v>30سنبله </c:v>
                  </c:pt>
                  <c:pt idx="662">
                    <c:v>30عقرب</c:v>
                  </c:pt>
                  <c:pt idx="663">
                    <c:v>30قوس</c:v>
                  </c:pt>
                  <c:pt idx="665">
                    <c:v>تاریخ ختم </c:v>
                  </c:pt>
                  <c:pt idx="667">
                    <c:v>30قوس</c:v>
                  </c:pt>
                  <c:pt idx="668">
                    <c:v>30قوس</c:v>
                  </c:pt>
                  <c:pt idx="669">
                    <c:v>30قوس</c:v>
                  </c:pt>
                  <c:pt idx="670">
                    <c:v>15حوت</c:v>
                  </c:pt>
                  <c:pt idx="671">
                    <c:v>15حوت</c:v>
                  </c:pt>
                  <c:pt idx="672">
                    <c:v>30عقرب</c:v>
                  </c:pt>
                  <c:pt idx="673">
                    <c:v>30دلو</c:v>
                  </c:pt>
                  <c:pt idx="674">
                    <c:v>30عقرب</c:v>
                  </c:pt>
                  <c:pt idx="675">
                    <c:v>30عقرب</c:v>
                  </c:pt>
                  <c:pt idx="676">
                    <c:v>15قوس</c:v>
                  </c:pt>
                  <c:pt idx="677">
                    <c:v>15قوس</c:v>
                  </c:pt>
                  <c:pt idx="678">
                    <c:v>15حوت</c:v>
                  </c:pt>
                  <c:pt idx="679">
                    <c:v>30جدی</c:v>
                  </c:pt>
                  <c:pt idx="680">
                    <c:v>30حوت</c:v>
                  </c:pt>
                  <c:pt idx="681">
                    <c:v>30حوت</c:v>
                  </c:pt>
                  <c:pt idx="682">
                    <c:v>30سنبله </c:v>
                  </c:pt>
                  <c:pt idx="683">
                    <c:v>30میزان</c:v>
                  </c:pt>
                  <c:pt idx="685">
                    <c:v>30عقرب</c:v>
                  </c:pt>
                  <c:pt idx="686">
                    <c:v>30قوس</c:v>
                  </c:pt>
                  <c:pt idx="687">
                    <c:v>30سنبله </c:v>
                  </c:pt>
                  <c:pt idx="688">
                    <c:v>30سنبله </c:v>
                  </c:pt>
                  <c:pt idx="689">
                    <c:v>30عقرب</c:v>
                  </c:pt>
                  <c:pt idx="690">
                    <c:v>30قوس</c:v>
                  </c:pt>
                  <c:pt idx="691">
                    <c:v>30قوس</c:v>
                  </c:pt>
                  <c:pt idx="693">
                    <c:v>تاریخ ختم </c:v>
                  </c:pt>
                  <c:pt idx="694">
                    <c:v>30دلو</c:v>
                  </c:pt>
                  <c:pt idx="695">
                    <c:v>30حمل</c:v>
                  </c:pt>
                  <c:pt idx="696">
                    <c:v>30 قوس</c:v>
                  </c:pt>
                  <c:pt idx="697">
                    <c:v>30 قوس</c:v>
                  </c:pt>
                  <c:pt idx="698">
                    <c:v>30قوس </c:v>
                  </c:pt>
                  <c:pt idx="699">
                    <c:v>30قوس </c:v>
                  </c:pt>
                  <c:pt idx="701">
                    <c:v>30عقرب</c:v>
                  </c:pt>
                  <c:pt idx="702">
                    <c:v>30قوس</c:v>
                  </c:pt>
                  <c:pt idx="703">
                    <c:v>30سنبله </c:v>
                  </c:pt>
                  <c:pt idx="704">
                    <c:v>30سنبله </c:v>
                  </c:pt>
                  <c:pt idx="705">
                    <c:v>30عقرب</c:v>
                  </c:pt>
                  <c:pt idx="706">
                    <c:v>30قوس</c:v>
                  </c:pt>
                  <c:pt idx="708">
                    <c:v>تاریخ ختم </c:v>
                  </c:pt>
                  <c:pt idx="709">
                    <c:v>30قوس</c:v>
                  </c:pt>
                  <c:pt idx="710">
                    <c:v>30قوس</c:v>
                  </c:pt>
                  <c:pt idx="711">
                    <c:v>15حوت</c:v>
                  </c:pt>
                  <c:pt idx="712">
                    <c:v>15حوت</c:v>
                  </c:pt>
                  <c:pt idx="713">
                    <c:v>30عقرب</c:v>
                  </c:pt>
                  <c:pt idx="714">
                    <c:v>30دلو</c:v>
                  </c:pt>
                  <c:pt idx="715">
                    <c:v>30عقرب</c:v>
                  </c:pt>
                  <c:pt idx="716">
                    <c:v>30عقرب</c:v>
                  </c:pt>
                  <c:pt idx="717">
                    <c:v>15قوس</c:v>
                  </c:pt>
                  <c:pt idx="718">
                    <c:v>15قوس</c:v>
                  </c:pt>
                  <c:pt idx="719">
                    <c:v>15حوت</c:v>
                  </c:pt>
                  <c:pt idx="720">
                    <c:v>30جدی</c:v>
                  </c:pt>
                  <c:pt idx="721">
                    <c:v>30حوت</c:v>
                  </c:pt>
                  <c:pt idx="722">
                    <c:v>30حوت</c:v>
                  </c:pt>
                  <c:pt idx="723">
                    <c:v>30سنبله </c:v>
                  </c:pt>
                  <c:pt idx="724">
                    <c:v>30میزان</c:v>
                  </c:pt>
                  <c:pt idx="726">
                    <c:v>30عقرب</c:v>
                  </c:pt>
                  <c:pt idx="727">
                    <c:v>30عقرب</c:v>
                  </c:pt>
                  <c:pt idx="728">
                    <c:v>30قوس</c:v>
                  </c:pt>
                  <c:pt idx="729">
                    <c:v>30سنبله </c:v>
                  </c:pt>
                  <c:pt idx="730">
                    <c:v>30سنبله </c:v>
                  </c:pt>
                  <c:pt idx="731">
                    <c:v>30عقرب</c:v>
                  </c:pt>
                  <c:pt idx="732">
                    <c:v>30عقرب</c:v>
                  </c:pt>
                  <c:pt idx="733">
                    <c:v>30قوس</c:v>
                  </c:pt>
                  <c:pt idx="734">
                    <c:v>30قوس</c:v>
                  </c:pt>
                  <c:pt idx="736">
                    <c:v>تاریخ ختم </c:v>
                  </c:pt>
                  <c:pt idx="737">
                    <c:v>30دلو</c:v>
                  </c:pt>
                  <c:pt idx="738">
                    <c:v>30حمل</c:v>
                  </c:pt>
                  <c:pt idx="739">
                    <c:v>30 قوس</c:v>
                  </c:pt>
                  <c:pt idx="740">
                    <c:v>30قوس</c:v>
                  </c:pt>
                  <c:pt idx="741">
                    <c:v>30قوس </c:v>
                  </c:pt>
                  <c:pt idx="742">
                    <c:v>30قوس </c:v>
                  </c:pt>
                  <c:pt idx="744">
                    <c:v>30عقرب</c:v>
                  </c:pt>
                  <c:pt idx="745">
                    <c:v>30قوس</c:v>
                  </c:pt>
                  <c:pt idx="746">
                    <c:v>30سنبله </c:v>
                  </c:pt>
                  <c:pt idx="747">
                    <c:v>30سنبله </c:v>
                  </c:pt>
                  <c:pt idx="748">
                    <c:v>30عقرب</c:v>
                  </c:pt>
                  <c:pt idx="749">
                    <c:v>30قوس</c:v>
                  </c:pt>
                  <c:pt idx="751">
                    <c:v>تاریخ ختم </c:v>
                  </c:pt>
                  <c:pt idx="752">
                    <c:v>30قوس</c:v>
                  </c:pt>
                  <c:pt idx="753">
                    <c:v>30قوس</c:v>
                  </c:pt>
                  <c:pt idx="754">
                    <c:v>30قوس</c:v>
                  </c:pt>
                  <c:pt idx="755">
                    <c:v>30سنبله </c:v>
                  </c:pt>
                  <c:pt idx="756">
                    <c:v>30میزان</c:v>
                  </c:pt>
                  <c:pt idx="757">
                    <c:v>30قوس</c:v>
                  </c:pt>
                  <c:pt idx="759">
                    <c:v>تاریخ ختم </c:v>
                  </c:pt>
                  <c:pt idx="760">
                    <c:v>30قوس</c:v>
                  </c:pt>
                  <c:pt idx="761">
                    <c:v>30قوس</c:v>
                  </c:pt>
                  <c:pt idx="762">
                    <c:v>30میزان</c:v>
                  </c:pt>
                  <c:pt idx="763">
                    <c:v>30سنبله </c:v>
                  </c:pt>
                  <c:pt idx="764">
                    <c:v>30قوس</c:v>
                  </c:pt>
                  <c:pt idx="766">
                    <c:v>تاریخ ختم </c:v>
                  </c:pt>
                  <c:pt idx="767">
                    <c:v>30قوس</c:v>
                  </c:pt>
                  <c:pt idx="768">
                    <c:v>30قوس</c:v>
                  </c:pt>
                  <c:pt idx="769">
                    <c:v>30حمل</c:v>
                  </c:pt>
                  <c:pt idx="770">
                    <c:v>30قوس</c:v>
                  </c:pt>
                  <c:pt idx="771">
                    <c:v>30قوس</c:v>
                  </c:pt>
                  <c:pt idx="772">
                    <c:v>15حوت</c:v>
                  </c:pt>
                  <c:pt idx="773">
                    <c:v>15حوت</c:v>
                  </c:pt>
                  <c:pt idx="774">
                    <c:v>30عقرب</c:v>
                  </c:pt>
                  <c:pt idx="775">
                    <c:v>30دلو</c:v>
                  </c:pt>
                  <c:pt idx="776">
                    <c:v>30عقرب</c:v>
                  </c:pt>
                  <c:pt idx="777">
                    <c:v>30عقرب</c:v>
                  </c:pt>
                  <c:pt idx="778">
                    <c:v>15قوس</c:v>
                  </c:pt>
                  <c:pt idx="779">
                    <c:v>15قوس</c:v>
                  </c:pt>
                  <c:pt idx="780">
                    <c:v>15حوت</c:v>
                  </c:pt>
                  <c:pt idx="781">
                    <c:v>30جدی</c:v>
                  </c:pt>
                  <c:pt idx="782">
                    <c:v>30حوت</c:v>
                  </c:pt>
                  <c:pt idx="783">
                    <c:v>30حوت</c:v>
                  </c:pt>
                  <c:pt idx="784">
                    <c:v>30سنبله </c:v>
                  </c:pt>
                  <c:pt idx="785">
                    <c:v>30میزان</c:v>
                  </c:pt>
                  <c:pt idx="786">
                    <c:v>30قوس</c:v>
                  </c:pt>
                  <c:pt idx="787">
                    <c:v>30عقرب</c:v>
                  </c:pt>
                  <c:pt idx="788">
                    <c:v>30قوس</c:v>
                  </c:pt>
                  <c:pt idx="789">
                    <c:v>30سنبله </c:v>
                  </c:pt>
                  <c:pt idx="790">
                    <c:v>30سنبله </c:v>
                  </c:pt>
                  <c:pt idx="791">
                    <c:v>30عقرب</c:v>
                  </c:pt>
                  <c:pt idx="792">
                    <c:v>30قوس</c:v>
                  </c:pt>
                  <c:pt idx="793">
                    <c:v>30قوس</c:v>
                  </c:pt>
                  <c:pt idx="795">
                    <c:v>تاریخ ختم </c:v>
                  </c:pt>
                  <c:pt idx="796">
                    <c:v>30قوس</c:v>
                  </c:pt>
                  <c:pt idx="797">
                    <c:v>30 قوس</c:v>
                  </c:pt>
                  <c:pt idx="798">
                    <c:v>30قوس</c:v>
                  </c:pt>
                  <c:pt idx="799">
                    <c:v>15حوت</c:v>
                  </c:pt>
                  <c:pt idx="800">
                    <c:v>15حوت</c:v>
                  </c:pt>
                  <c:pt idx="801">
                    <c:v>30عقرب</c:v>
                  </c:pt>
                  <c:pt idx="802">
                    <c:v>30دلو</c:v>
                  </c:pt>
                  <c:pt idx="803">
                    <c:v>30عقرب</c:v>
                  </c:pt>
                  <c:pt idx="804">
                    <c:v>30عقرب</c:v>
                  </c:pt>
                  <c:pt idx="805">
                    <c:v>15قوس</c:v>
                  </c:pt>
                  <c:pt idx="806">
                    <c:v>15قوس</c:v>
                  </c:pt>
                  <c:pt idx="807">
                    <c:v>15حوت</c:v>
                  </c:pt>
                  <c:pt idx="808">
                    <c:v>30جدی</c:v>
                  </c:pt>
                  <c:pt idx="809">
                    <c:v>30حوت</c:v>
                  </c:pt>
                  <c:pt idx="810">
                    <c:v>30حوت</c:v>
                  </c:pt>
                  <c:pt idx="811">
                    <c:v>30سنبله </c:v>
                  </c:pt>
                  <c:pt idx="812">
                    <c:v>30میزان</c:v>
                  </c:pt>
                  <c:pt idx="813">
                    <c:v>30قوس</c:v>
                  </c:pt>
                  <c:pt idx="814">
                    <c:v>30قوس</c:v>
                  </c:pt>
                  <c:pt idx="816">
                    <c:v>تاریخ ختم </c:v>
                  </c:pt>
                  <c:pt idx="817">
                    <c:v>30دلو</c:v>
                  </c:pt>
                  <c:pt idx="818">
                    <c:v>30حمل</c:v>
                  </c:pt>
                  <c:pt idx="819">
                    <c:v>31 قوس</c:v>
                  </c:pt>
                  <c:pt idx="820">
                    <c:v>30قوس </c:v>
                  </c:pt>
                  <c:pt idx="821">
                    <c:v>30قوس </c:v>
                  </c:pt>
                  <c:pt idx="822">
                    <c:v>30قوس</c:v>
                  </c:pt>
                  <c:pt idx="824">
                    <c:v>تاریخ ختم </c:v>
                  </c:pt>
                  <c:pt idx="825">
                    <c:v>30دلو</c:v>
                  </c:pt>
                  <c:pt idx="826">
                    <c:v>30حمل</c:v>
                  </c:pt>
                  <c:pt idx="827">
                    <c:v>31 قوس</c:v>
                  </c:pt>
                  <c:pt idx="828">
                    <c:v>30قوس </c:v>
                  </c:pt>
                  <c:pt idx="829">
                    <c:v>30قوس </c:v>
                  </c:pt>
                  <c:pt idx="830">
                    <c:v>30قوس</c:v>
                  </c:pt>
                  <c:pt idx="832">
                    <c:v>تاریخ ختم </c:v>
                  </c:pt>
                  <c:pt idx="833">
                    <c:v>30دلو</c:v>
                  </c:pt>
                  <c:pt idx="834">
                    <c:v>30حمل</c:v>
                  </c:pt>
                  <c:pt idx="835">
                    <c:v>31 قوس</c:v>
                  </c:pt>
                  <c:pt idx="836">
                    <c:v>30قوس </c:v>
                  </c:pt>
                  <c:pt idx="837">
                    <c:v>30قوس </c:v>
                  </c:pt>
                  <c:pt idx="838">
                    <c:v>30قوس</c:v>
                  </c:pt>
                  <c:pt idx="840">
                    <c:v>تاریخ ختم </c:v>
                  </c:pt>
                  <c:pt idx="841">
                    <c:v>30دلو</c:v>
                  </c:pt>
                  <c:pt idx="842">
                    <c:v>30حمل</c:v>
                  </c:pt>
                  <c:pt idx="843">
                    <c:v>31 قوس</c:v>
                  </c:pt>
                  <c:pt idx="844">
                    <c:v>30قوس </c:v>
                  </c:pt>
                  <c:pt idx="845">
                    <c:v>30قوس </c:v>
                  </c:pt>
                  <c:pt idx="846">
                    <c:v>30قوس</c:v>
                  </c:pt>
                  <c:pt idx="848">
                    <c:v>تاریخ ختم </c:v>
                  </c:pt>
                  <c:pt idx="849">
                    <c:v>30دلو</c:v>
                  </c:pt>
                  <c:pt idx="850">
                    <c:v>30حمل</c:v>
                  </c:pt>
                  <c:pt idx="851">
                    <c:v>31 قوس</c:v>
                  </c:pt>
                  <c:pt idx="852">
                    <c:v>30قوس </c:v>
                  </c:pt>
                  <c:pt idx="853">
                    <c:v>30قوس </c:v>
                  </c:pt>
                  <c:pt idx="855">
                    <c:v>30عقرب</c:v>
                  </c:pt>
                  <c:pt idx="856">
                    <c:v>30قوس</c:v>
                  </c:pt>
                  <c:pt idx="857">
                    <c:v>30سنبله </c:v>
                  </c:pt>
                  <c:pt idx="858">
                    <c:v>30سنبله </c:v>
                  </c:pt>
                  <c:pt idx="859">
                    <c:v>30عقرب</c:v>
                  </c:pt>
                  <c:pt idx="860">
                    <c:v>30قوس</c:v>
                  </c:pt>
                  <c:pt idx="862">
                    <c:v>تاریخ ختم </c:v>
                  </c:pt>
                  <c:pt idx="863">
                    <c:v>30دلو</c:v>
                  </c:pt>
                  <c:pt idx="864">
                    <c:v>30حمل</c:v>
                  </c:pt>
                  <c:pt idx="865">
                    <c:v>31 قوس</c:v>
                  </c:pt>
                  <c:pt idx="866">
                    <c:v>30قوس </c:v>
                  </c:pt>
                  <c:pt idx="867">
                    <c:v>30قوس </c:v>
                  </c:pt>
                  <c:pt idx="869">
                    <c:v>30عقرب</c:v>
                  </c:pt>
                  <c:pt idx="870">
                    <c:v>30قوس</c:v>
                  </c:pt>
                  <c:pt idx="871">
                    <c:v>30سنبله </c:v>
                  </c:pt>
                  <c:pt idx="872">
                    <c:v>30سنبله </c:v>
                  </c:pt>
                  <c:pt idx="873">
                    <c:v>30عقرب</c:v>
                  </c:pt>
                  <c:pt idx="874">
                    <c:v>30قوس</c:v>
                  </c:pt>
                  <c:pt idx="878">
                    <c:v> -   </c:v>
                  </c:pt>
                  <c:pt idx="879">
                    <c:v> -   </c:v>
                  </c:pt>
                  <c:pt idx="881">
                    <c:v>تاریخ ختم </c:v>
                  </c:pt>
                  <c:pt idx="882">
                    <c:v>30قوس</c:v>
                  </c:pt>
                  <c:pt idx="883">
                    <c:v>30قوس</c:v>
                  </c:pt>
                  <c:pt idx="884">
                    <c:v>30قوس</c:v>
                  </c:pt>
                  <c:pt idx="885">
                    <c:v>30قوس</c:v>
                  </c:pt>
                  <c:pt idx="886">
                    <c:v>30قوس</c:v>
                  </c:pt>
                  <c:pt idx="887">
                    <c:v>30قوس</c:v>
                  </c:pt>
                  <c:pt idx="888">
                    <c:v>30قوس</c:v>
                  </c:pt>
                  <c:pt idx="890">
                    <c:v>30قوس</c:v>
                  </c:pt>
                  <c:pt idx="891">
                    <c:v>30قوس</c:v>
                  </c:pt>
                  <c:pt idx="892">
                    <c:v>30قوس</c:v>
                  </c:pt>
                  <c:pt idx="893">
                    <c:v>30قوس</c:v>
                  </c:pt>
                  <c:pt idx="894">
                    <c:v>30قوس</c:v>
                  </c:pt>
                  <c:pt idx="895">
                    <c:v>30قوس</c:v>
                  </c:pt>
                  <c:pt idx="896">
                    <c:v>30قوس</c:v>
                  </c:pt>
                  <c:pt idx="898">
                    <c:v>30قوس</c:v>
                  </c:pt>
                  <c:pt idx="899">
                    <c:v>30قوس</c:v>
                  </c:pt>
                  <c:pt idx="900">
                    <c:v>30قوس</c:v>
                  </c:pt>
                  <c:pt idx="901">
                    <c:v>30قوس</c:v>
                  </c:pt>
                  <c:pt idx="902">
                    <c:v>30قوس</c:v>
                  </c:pt>
                  <c:pt idx="903">
                    <c:v>30قوس</c:v>
                  </c:pt>
                  <c:pt idx="904">
                    <c:v>30قوس</c:v>
                  </c:pt>
                  <c:pt idx="906">
                    <c:v>30قوس</c:v>
                  </c:pt>
                  <c:pt idx="907">
                    <c:v>30قوس</c:v>
                  </c:pt>
                  <c:pt idx="908">
                    <c:v>30قوس</c:v>
                  </c:pt>
                  <c:pt idx="909">
                    <c:v>30قوس</c:v>
                  </c:pt>
                  <c:pt idx="910">
                    <c:v>30قوس</c:v>
                  </c:pt>
                  <c:pt idx="911">
                    <c:v>30قوس</c:v>
                  </c:pt>
                  <c:pt idx="913">
                    <c:v>30قوس</c:v>
                  </c:pt>
                  <c:pt idx="914">
                    <c:v>30قوس</c:v>
                  </c:pt>
                  <c:pt idx="915">
                    <c:v>30قوس</c:v>
                  </c:pt>
                  <c:pt idx="916">
                    <c:v>30قوس</c:v>
                  </c:pt>
                  <c:pt idx="917">
                    <c:v>30قوس</c:v>
                  </c:pt>
                  <c:pt idx="918">
                    <c:v>30قوس</c:v>
                  </c:pt>
                  <c:pt idx="919">
                    <c:v>30قوس</c:v>
                  </c:pt>
                  <c:pt idx="921">
                    <c:v>30قوس</c:v>
                  </c:pt>
                  <c:pt idx="922">
                    <c:v>30قوس</c:v>
                  </c:pt>
                  <c:pt idx="923">
                    <c:v>30قوس</c:v>
                  </c:pt>
                  <c:pt idx="924">
                    <c:v>30قوس</c:v>
                  </c:pt>
                  <c:pt idx="925">
                    <c:v>30قوس</c:v>
                  </c:pt>
                  <c:pt idx="927">
                    <c:v>30قوس</c:v>
                  </c:pt>
                  <c:pt idx="928">
                    <c:v>30قوس</c:v>
                  </c:pt>
                  <c:pt idx="929">
                    <c:v>30قوس</c:v>
                  </c:pt>
                  <c:pt idx="930">
                    <c:v>30قوس</c:v>
                  </c:pt>
                  <c:pt idx="931">
                    <c:v>30قوس</c:v>
                  </c:pt>
                  <c:pt idx="932">
                    <c:v>30قوس</c:v>
                  </c:pt>
                  <c:pt idx="933">
                    <c:v>30قوس</c:v>
                  </c:pt>
                  <c:pt idx="934">
                    <c:v>30قوس</c:v>
                  </c:pt>
                  <c:pt idx="936">
                    <c:v>30قوس</c:v>
                  </c:pt>
                  <c:pt idx="937">
                    <c:v>30قوس</c:v>
                  </c:pt>
                  <c:pt idx="938">
                    <c:v>30قوس</c:v>
                  </c:pt>
                  <c:pt idx="939">
                    <c:v>30قوس</c:v>
                  </c:pt>
                  <c:pt idx="940">
                    <c:v>30قوس</c:v>
                  </c:pt>
                  <c:pt idx="941">
                    <c:v>30قوس</c:v>
                  </c:pt>
                  <c:pt idx="942">
                    <c:v>30قوس</c:v>
                  </c:pt>
                  <c:pt idx="944">
                    <c:v>30قوس</c:v>
                  </c:pt>
                  <c:pt idx="945">
                    <c:v>30قوس</c:v>
                  </c:pt>
                  <c:pt idx="946">
                    <c:v>30قوس</c:v>
                  </c:pt>
                  <c:pt idx="947">
                    <c:v>30قوس</c:v>
                  </c:pt>
                  <c:pt idx="948">
                    <c:v>30قوس</c:v>
                  </c:pt>
                  <c:pt idx="949">
                    <c:v>30قوس</c:v>
                  </c:pt>
                  <c:pt idx="950">
                    <c:v>30قوس</c:v>
                  </c:pt>
                  <c:pt idx="952">
                    <c:v>30قوس</c:v>
                  </c:pt>
                  <c:pt idx="953">
                    <c:v>30قوس</c:v>
                  </c:pt>
                  <c:pt idx="954">
                    <c:v>30قوس</c:v>
                  </c:pt>
                  <c:pt idx="955">
                    <c:v>30قوس</c:v>
                  </c:pt>
                  <c:pt idx="956">
                    <c:v>30قوس</c:v>
                  </c:pt>
                  <c:pt idx="957">
                    <c:v>30قوس</c:v>
                  </c:pt>
                  <c:pt idx="958">
                    <c:v>30قوس</c:v>
                  </c:pt>
                  <c:pt idx="959">
                    <c:v>30قوس</c:v>
                  </c:pt>
                  <c:pt idx="961">
                    <c:v>30قوس</c:v>
                  </c:pt>
                  <c:pt idx="962">
                    <c:v>30قوس</c:v>
                  </c:pt>
                  <c:pt idx="963">
                    <c:v>30قوس</c:v>
                  </c:pt>
                  <c:pt idx="964">
                    <c:v>30قوس</c:v>
                  </c:pt>
                  <c:pt idx="965">
                    <c:v>30قوس</c:v>
                  </c:pt>
                  <c:pt idx="966">
                    <c:v>30قوس</c:v>
                  </c:pt>
                  <c:pt idx="967">
                    <c:v>30قوس</c:v>
                  </c:pt>
                  <c:pt idx="969">
                    <c:v>30قوس</c:v>
                  </c:pt>
                  <c:pt idx="970">
                    <c:v>30قوس</c:v>
                  </c:pt>
                  <c:pt idx="971">
                    <c:v>30قوس</c:v>
                  </c:pt>
                  <c:pt idx="972">
                    <c:v>30قوس</c:v>
                  </c:pt>
                  <c:pt idx="973">
                    <c:v>30قوس</c:v>
                  </c:pt>
                  <c:pt idx="974">
                    <c:v>30قوس</c:v>
                  </c:pt>
                  <c:pt idx="975">
                    <c:v>30قوس</c:v>
                  </c:pt>
                  <c:pt idx="977">
                    <c:v>30قوس</c:v>
                  </c:pt>
                  <c:pt idx="978">
                    <c:v>30قوس</c:v>
                  </c:pt>
                  <c:pt idx="979">
                    <c:v>30قوس</c:v>
                  </c:pt>
                  <c:pt idx="980">
                    <c:v>30قوس</c:v>
                  </c:pt>
                  <c:pt idx="981">
                    <c:v>30قوس</c:v>
                  </c:pt>
                  <c:pt idx="982">
                    <c:v>30قوس</c:v>
                  </c:pt>
                  <c:pt idx="983">
                    <c:v>30قوس</c:v>
                  </c:pt>
                  <c:pt idx="984">
                    <c:v>30قوس</c:v>
                  </c:pt>
                  <c:pt idx="985">
                    <c:v>30قوس</c:v>
                  </c:pt>
                  <c:pt idx="987">
                    <c:v>30قوس</c:v>
                  </c:pt>
                  <c:pt idx="988">
                    <c:v>30قوس</c:v>
                  </c:pt>
                  <c:pt idx="989">
                    <c:v>30قوس</c:v>
                  </c:pt>
                  <c:pt idx="990">
                    <c:v>30قوس</c:v>
                  </c:pt>
                  <c:pt idx="991">
                    <c:v>30قوس</c:v>
                  </c:pt>
                  <c:pt idx="992">
                    <c:v>30قوس</c:v>
                  </c:pt>
                  <c:pt idx="993">
                    <c:v>30قوس</c:v>
                  </c:pt>
                  <c:pt idx="995">
                    <c:v>30قوس</c:v>
                  </c:pt>
                  <c:pt idx="996">
                    <c:v>30قوس</c:v>
                  </c:pt>
                  <c:pt idx="997">
                    <c:v>30قوس</c:v>
                  </c:pt>
                  <c:pt idx="998">
                    <c:v>30قوس</c:v>
                  </c:pt>
                  <c:pt idx="999">
                    <c:v>30قوس</c:v>
                  </c:pt>
                  <c:pt idx="1000">
                    <c:v>30قوس</c:v>
                  </c:pt>
                  <c:pt idx="1002">
                    <c:v>1جدی</c:v>
                  </c:pt>
                  <c:pt idx="1003">
                    <c:v>1جدی</c:v>
                  </c:pt>
                  <c:pt idx="1004">
                    <c:v>1جدی</c:v>
                  </c:pt>
                  <c:pt idx="1005">
                    <c:v>1جدی</c:v>
                  </c:pt>
                  <c:pt idx="1006">
                    <c:v>1جدی</c:v>
                  </c:pt>
                  <c:pt idx="1007">
                    <c:v>1جدی</c:v>
                  </c:pt>
                  <c:pt idx="1008">
                    <c:v>1جدی</c:v>
                  </c:pt>
                  <c:pt idx="1009">
                    <c:v>1جدی</c:v>
                  </c:pt>
                  <c:pt idx="1010">
                    <c:v>1جدی</c:v>
                  </c:pt>
                  <c:pt idx="1011">
                    <c:v>1جدی</c:v>
                  </c:pt>
                  <c:pt idx="1012">
                    <c:v>1جدی</c:v>
                  </c:pt>
                  <c:pt idx="1013">
                    <c:v>1جدی</c:v>
                  </c:pt>
                  <c:pt idx="1014">
                    <c:v>1جدی</c:v>
                  </c:pt>
                  <c:pt idx="1015">
                    <c:v>1جدی</c:v>
                  </c:pt>
                  <c:pt idx="1016">
                    <c:v>1جدی</c:v>
                  </c:pt>
                  <c:pt idx="1018">
                    <c:v>30قوس</c:v>
                  </c:pt>
                  <c:pt idx="1019">
                    <c:v>30قوس</c:v>
                  </c:pt>
                  <c:pt idx="1020">
                    <c:v>30قوس</c:v>
                  </c:pt>
                  <c:pt idx="1021">
                    <c:v>30قوس</c:v>
                  </c:pt>
                  <c:pt idx="1022">
                    <c:v>30قوس</c:v>
                  </c:pt>
                  <c:pt idx="1023">
                    <c:v>30قوس</c:v>
                  </c:pt>
                  <c:pt idx="1024">
                    <c:v>30قوس</c:v>
                  </c:pt>
                  <c:pt idx="1026">
                    <c:v>30قوس</c:v>
                  </c:pt>
                  <c:pt idx="1027">
                    <c:v>30قوس</c:v>
                  </c:pt>
                  <c:pt idx="1028">
                    <c:v>30قوس</c:v>
                  </c:pt>
                  <c:pt idx="1029">
                    <c:v>30قوس</c:v>
                  </c:pt>
                  <c:pt idx="1030">
                    <c:v>30قوس</c:v>
                  </c:pt>
                  <c:pt idx="1031">
                    <c:v>30قوس</c:v>
                  </c:pt>
                  <c:pt idx="1032">
                    <c:v>30قوس</c:v>
                  </c:pt>
                  <c:pt idx="1033">
                    <c:v>30قوس</c:v>
                  </c:pt>
                  <c:pt idx="1035">
                    <c:v>30قوس</c:v>
                  </c:pt>
                  <c:pt idx="1036">
                    <c:v>30قوس</c:v>
                  </c:pt>
                  <c:pt idx="1037">
                    <c:v>30قوس</c:v>
                  </c:pt>
                  <c:pt idx="1038">
                    <c:v>30قوس</c:v>
                  </c:pt>
                  <c:pt idx="1039">
                    <c:v>30قوس</c:v>
                  </c:pt>
                  <c:pt idx="1040">
                    <c:v>30قوس</c:v>
                  </c:pt>
                  <c:pt idx="1041">
                    <c:v>30قوس</c:v>
                  </c:pt>
                  <c:pt idx="1043">
                    <c:v>30قوس</c:v>
                  </c:pt>
                  <c:pt idx="1044">
                    <c:v>30قوس</c:v>
                  </c:pt>
                  <c:pt idx="1045">
                    <c:v>30قوس</c:v>
                  </c:pt>
                  <c:pt idx="1046">
                    <c:v>30قوس</c:v>
                  </c:pt>
                  <c:pt idx="1047">
                    <c:v>30قوس</c:v>
                  </c:pt>
                  <c:pt idx="1048">
                    <c:v>30قوس</c:v>
                  </c:pt>
                  <c:pt idx="1049">
                    <c:v>30قوس</c:v>
                  </c:pt>
                  <c:pt idx="1050">
                    <c:v>30قوس</c:v>
                  </c:pt>
                  <c:pt idx="1052">
                    <c:v>30قوس</c:v>
                  </c:pt>
                  <c:pt idx="1053">
                    <c:v>30قوس</c:v>
                  </c:pt>
                  <c:pt idx="1054">
                    <c:v>30قوس</c:v>
                  </c:pt>
                  <c:pt idx="1055">
                    <c:v>30قوس</c:v>
                  </c:pt>
                  <c:pt idx="1056">
                    <c:v>30قوس</c:v>
                  </c:pt>
                  <c:pt idx="1057">
                    <c:v>30قوس</c:v>
                  </c:pt>
                  <c:pt idx="1058">
                    <c:v>30قوس</c:v>
                  </c:pt>
                  <c:pt idx="1060">
                    <c:v>30قوس</c:v>
                  </c:pt>
                  <c:pt idx="1061">
                    <c:v>30قوس</c:v>
                  </c:pt>
                  <c:pt idx="1062">
                    <c:v>30قوس</c:v>
                  </c:pt>
                  <c:pt idx="1063">
                    <c:v>30قوس</c:v>
                  </c:pt>
                  <c:pt idx="1064">
                    <c:v>30قوس</c:v>
                  </c:pt>
                  <c:pt idx="1065">
                    <c:v>30قوس</c:v>
                  </c:pt>
                  <c:pt idx="1066">
                    <c:v>30قوس</c:v>
                  </c:pt>
                  <c:pt idx="1068">
                    <c:v>30قوس</c:v>
                  </c:pt>
                  <c:pt idx="1069">
                    <c:v>30قوس</c:v>
                  </c:pt>
                  <c:pt idx="1070">
                    <c:v>30قوس</c:v>
                  </c:pt>
                  <c:pt idx="1071">
                    <c:v>30قوس</c:v>
                  </c:pt>
                  <c:pt idx="1072">
                    <c:v>30قوس</c:v>
                  </c:pt>
                  <c:pt idx="1073">
                    <c:v>30قوس</c:v>
                  </c:pt>
                  <c:pt idx="1074">
                    <c:v>30قوس</c:v>
                  </c:pt>
                  <c:pt idx="1076">
                    <c:v>30قوس</c:v>
                  </c:pt>
                  <c:pt idx="1077">
                    <c:v>30قوس</c:v>
                  </c:pt>
                  <c:pt idx="1078">
                    <c:v>30قوس</c:v>
                  </c:pt>
                  <c:pt idx="1079">
                    <c:v>30قوس</c:v>
                  </c:pt>
                  <c:pt idx="1080">
                    <c:v>30قوس</c:v>
                  </c:pt>
                  <c:pt idx="1081">
                    <c:v>30قوس</c:v>
                  </c:pt>
                  <c:pt idx="1082">
                    <c:v>30قوس</c:v>
                  </c:pt>
                  <c:pt idx="1084">
                    <c:v>30قوس</c:v>
                  </c:pt>
                  <c:pt idx="1085">
                    <c:v>30قوس</c:v>
                  </c:pt>
                  <c:pt idx="1086">
                    <c:v>30قوس</c:v>
                  </c:pt>
                  <c:pt idx="1087">
                    <c:v>30قوس</c:v>
                  </c:pt>
                  <c:pt idx="1088">
                    <c:v>30قوس</c:v>
                  </c:pt>
                  <c:pt idx="1089">
                    <c:v>30قوس</c:v>
                  </c:pt>
                  <c:pt idx="1090">
                    <c:v>30قوس</c:v>
                  </c:pt>
                  <c:pt idx="1092">
                    <c:v>30قوس</c:v>
                  </c:pt>
                  <c:pt idx="1093">
                    <c:v>30قوس</c:v>
                  </c:pt>
                  <c:pt idx="1094">
                    <c:v>30قوس</c:v>
                  </c:pt>
                  <c:pt idx="1095">
                    <c:v>30قوس</c:v>
                  </c:pt>
                  <c:pt idx="1096">
                    <c:v>30قوس</c:v>
                  </c:pt>
                  <c:pt idx="1097">
                    <c:v>30قوس</c:v>
                  </c:pt>
                  <c:pt idx="1099">
                    <c:v>30قوس</c:v>
                  </c:pt>
                  <c:pt idx="1100">
                    <c:v>30قوس</c:v>
                  </c:pt>
                  <c:pt idx="1101">
                    <c:v>30قوس</c:v>
                  </c:pt>
                  <c:pt idx="1102">
                    <c:v>30قوس</c:v>
                  </c:pt>
                  <c:pt idx="1103">
                    <c:v>30قوس</c:v>
                  </c:pt>
                  <c:pt idx="1104">
                    <c:v>30قوس</c:v>
                  </c:pt>
                  <c:pt idx="1105">
                    <c:v>30قوس</c:v>
                  </c:pt>
                  <c:pt idx="1107">
                    <c:v>30قوس</c:v>
                  </c:pt>
                  <c:pt idx="1108">
                    <c:v>30قوس</c:v>
                  </c:pt>
                  <c:pt idx="1109">
                    <c:v>30قوس</c:v>
                  </c:pt>
                  <c:pt idx="1110">
                    <c:v>30قوس</c:v>
                  </c:pt>
                  <c:pt idx="1111">
                    <c:v>30قوس</c:v>
                  </c:pt>
                  <c:pt idx="1112">
                    <c:v>30قوس</c:v>
                  </c:pt>
                  <c:pt idx="1113">
                    <c:v>30قوس</c:v>
                  </c:pt>
                  <c:pt idx="1115">
                    <c:v> -   </c:v>
                  </c:pt>
                  <c:pt idx="1117">
                    <c:v>تاریخ ختم</c:v>
                  </c:pt>
                  <c:pt idx="1118">
                    <c:v>9/1397</c:v>
                  </c:pt>
                  <c:pt idx="1119">
                    <c:v>9/1397</c:v>
                  </c:pt>
                  <c:pt idx="1120">
                    <c:v>09/1397</c:v>
                  </c:pt>
                  <c:pt idx="1121">
                    <c:v>9/1397</c:v>
                  </c:pt>
                  <c:pt idx="1123">
                    <c:v>تاریخ ختم</c:v>
                  </c:pt>
                  <c:pt idx="1124">
                    <c:v>9/1397</c:v>
                  </c:pt>
                  <c:pt idx="1125">
                    <c:v>9/1397</c:v>
                  </c:pt>
                  <c:pt idx="1127">
                    <c:v>تاریخ ختم</c:v>
                  </c:pt>
                  <c:pt idx="1128">
                    <c:v>9/1397</c:v>
                  </c:pt>
                  <c:pt idx="1130">
                    <c:v> -   </c:v>
                  </c:pt>
                  <c:pt idx="1132">
                    <c:v>9/1397</c:v>
                  </c:pt>
                  <c:pt idx="1133">
                    <c:v>9/1397</c:v>
                  </c:pt>
                  <c:pt idx="1155">
                    <c:v>                منظور کننده             </c:v>
                  </c:pt>
                  <c:pt idx="1156">
                    <c:v>نصیراحمد درانی  </c:v>
                  </c:pt>
                  <c:pt idx="1157">
                    <c:v> وزیر زراعت، آبیاری ومالداری</c:v>
                  </c:pt>
                </c:lvl>
                <c:lvl>
                  <c:pt idx="2">
                    <c:v>کمیت</c:v>
                  </c:pt>
                  <c:pt idx="4">
                    <c:v>8</c:v>
                  </c:pt>
                  <c:pt idx="5">
                    <c:v>80</c:v>
                  </c:pt>
                  <c:pt idx="6">
                    <c:v>0</c:v>
                  </c:pt>
                  <c:pt idx="8">
                    <c:v>کمیت</c:v>
                  </c:pt>
                  <c:pt idx="9">
                    <c:v>10</c:v>
                  </c:pt>
                  <c:pt idx="10">
                    <c:v>100</c:v>
                  </c:pt>
                  <c:pt idx="13">
                    <c:v>کمیت</c:v>
                  </c:pt>
                  <c:pt idx="14">
                    <c:v>4</c:v>
                  </c:pt>
                  <c:pt idx="15">
                    <c:v>40</c:v>
                  </c:pt>
                  <c:pt idx="16">
                    <c:v>200</c:v>
                  </c:pt>
                  <c:pt idx="17">
                    <c:v>0</c:v>
                  </c:pt>
                  <c:pt idx="19">
                    <c:v>کمیت</c:v>
                  </c:pt>
                  <c:pt idx="20">
                    <c:v>4</c:v>
                  </c:pt>
                  <c:pt idx="21">
                    <c:v>40</c:v>
                  </c:pt>
                  <c:pt idx="24">
                    <c:v>کمیت</c:v>
                  </c:pt>
                  <c:pt idx="25">
                    <c:v>6</c:v>
                  </c:pt>
                  <c:pt idx="26">
                    <c:v>60</c:v>
                  </c:pt>
                  <c:pt idx="27">
                    <c:v>0</c:v>
                  </c:pt>
                  <c:pt idx="29">
                    <c:v>کمیت</c:v>
                  </c:pt>
                  <c:pt idx="30">
                    <c:v>2</c:v>
                  </c:pt>
                  <c:pt idx="33">
                    <c:v>کمیت</c:v>
                  </c:pt>
                  <c:pt idx="34">
                    <c:v>1</c:v>
                  </c:pt>
                  <c:pt idx="37">
                    <c:v>کمیت</c:v>
                  </c:pt>
                  <c:pt idx="38">
                    <c:v>1</c:v>
                  </c:pt>
                  <c:pt idx="41">
                    <c:v>کمیت</c:v>
                  </c:pt>
                  <c:pt idx="42">
                    <c:v>10</c:v>
                  </c:pt>
                  <c:pt idx="43">
                    <c:v>50</c:v>
                  </c:pt>
                  <c:pt idx="44">
                    <c:v>200</c:v>
                  </c:pt>
                  <c:pt idx="47">
                    <c:v>کمیت</c:v>
                  </c:pt>
                  <c:pt idx="48">
                    <c:v>18</c:v>
                  </c:pt>
                  <c:pt idx="49">
                    <c:v>180</c:v>
                  </c:pt>
                  <c:pt idx="50">
                    <c:v>5000</c:v>
                  </c:pt>
                  <c:pt idx="51">
                    <c:v>900</c:v>
                  </c:pt>
                  <c:pt idx="52">
                    <c:v>100</c:v>
                  </c:pt>
                  <c:pt idx="54">
                    <c:v>کمیت</c:v>
                  </c:pt>
                  <c:pt idx="55">
                    <c:v>4</c:v>
                  </c:pt>
                  <c:pt idx="56">
                    <c:v>40</c:v>
                  </c:pt>
                  <c:pt idx="59">
                    <c:v>کمیت</c:v>
                  </c:pt>
                  <c:pt idx="60">
                    <c:v>6</c:v>
                  </c:pt>
                  <c:pt idx="61">
                    <c:v>60</c:v>
                  </c:pt>
                  <c:pt idx="64">
                    <c:v>کمیت</c:v>
                  </c:pt>
                  <c:pt idx="65">
                    <c:v>2</c:v>
                  </c:pt>
                  <c:pt idx="70">
                    <c:v>تعداد</c:v>
                  </c:pt>
                  <c:pt idx="72">
                    <c:v>1</c:v>
                  </c:pt>
                  <c:pt idx="73">
                    <c:v>20</c:v>
                  </c:pt>
                  <c:pt idx="74">
                    <c:v>40</c:v>
                  </c:pt>
                  <c:pt idx="75">
                    <c:v>60</c:v>
                  </c:pt>
                  <c:pt idx="76">
                    <c:v>300</c:v>
                  </c:pt>
                  <c:pt idx="77">
                    <c:v>600000</c:v>
                  </c:pt>
                  <c:pt idx="78">
                    <c:v>10</c:v>
                  </c:pt>
                  <c:pt idx="79">
                    <c:v>50000</c:v>
                  </c:pt>
                  <c:pt idx="80">
                    <c:v>50000</c:v>
                  </c:pt>
                  <c:pt idx="81">
                    <c:v>15</c:v>
                  </c:pt>
                  <c:pt idx="82">
                    <c:v>12</c:v>
                  </c:pt>
                  <c:pt idx="83">
                    <c:v>50000</c:v>
                  </c:pt>
                  <c:pt idx="84">
                    <c:v>1</c:v>
                  </c:pt>
                  <c:pt idx="86">
                    <c:v>کمیت</c:v>
                  </c:pt>
                  <c:pt idx="87">
                    <c:v>40</c:v>
                  </c:pt>
                  <c:pt idx="88">
                    <c:v>1</c:v>
                  </c:pt>
                  <c:pt idx="89">
                    <c:v>1</c:v>
                  </c:pt>
                  <c:pt idx="90">
                    <c:v>66</c:v>
                  </c:pt>
                  <c:pt idx="91">
                    <c:v>76000</c:v>
                  </c:pt>
                  <c:pt idx="92">
                    <c:v>76000</c:v>
                  </c:pt>
                  <c:pt idx="93">
                    <c:v>66000</c:v>
                  </c:pt>
                  <c:pt idx="94">
                    <c:v>1</c:v>
                  </c:pt>
                  <c:pt idx="95">
                    <c:v>66000</c:v>
                  </c:pt>
                  <c:pt idx="96">
                    <c:v>66000</c:v>
                  </c:pt>
                  <c:pt idx="97">
                    <c:v>1320000</c:v>
                  </c:pt>
                  <c:pt idx="98">
                    <c:v>66000</c:v>
                  </c:pt>
                  <c:pt idx="99">
                    <c:v>40000</c:v>
                  </c:pt>
                  <c:pt idx="100">
                    <c:v>15</c:v>
                  </c:pt>
                  <c:pt idx="101">
                    <c:v>20000</c:v>
                  </c:pt>
                  <c:pt idx="102">
                    <c:v>200</c:v>
                  </c:pt>
                  <c:pt idx="103">
                    <c:v>20000</c:v>
                  </c:pt>
                  <c:pt idx="104">
                    <c:v> 1 </c:v>
                  </c:pt>
                  <c:pt idx="105">
                    <c:v> 10 </c:v>
                  </c:pt>
                  <c:pt idx="106">
                    <c:v>50000</c:v>
                  </c:pt>
                  <c:pt idx="107">
                    <c:v>50000</c:v>
                  </c:pt>
                  <c:pt idx="108">
                    <c:v>15</c:v>
                  </c:pt>
                  <c:pt idx="109">
                    <c:v>12</c:v>
                  </c:pt>
                  <c:pt idx="110">
                    <c:v>50000</c:v>
                  </c:pt>
                  <c:pt idx="111">
                    <c:v>200</c:v>
                  </c:pt>
                  <c:pt idx="112">
                    <c:v>1</c:v>
                  </c:pt>
                  <c:pt idx="114">
                    <c:v>کمیت</c:v>
                  </c:pt>
                  <c:pt idx="115">
                    <c:v>1</c:v>
                  </c:pt>
                  <c:pt idx="116">
                    <c:v>20</c:v>
                  </c:pt>
                  <c:pt idx="117">
                    <c:v>40</c:v>
                  </c:pt>
                  <c:pt idx="118">
                    <c:v>100</c:v>
                  </c:pt>
                  <c:pt idx="119">
                    <c:v>500</c:v>
                  </c:pt>
                  <c:pt idx="120">
                    <c:v>1000000</c:v>
                  </c:pt>
                  <c:pt idx="121">
                    <c:v>10</c:v>
                  </c:pt>
                  <c:pt idx="122">
                    <c:v>50000</c:v>
                  </c:pt>
                  <c:pt idx="123">
                    <c:v>50000</c:v>
                  </c:pt>
                  <c:pt idx="124">
                    <c:v>15</c:v>
                  </c:pt>
                  <c:pt idx="125">
                    <c:v>12</c:v>
                  </c:pt>
                  <c:pt idx="126">
                    <c:v>50000</c:v>
                  </c:pt>
                  <c:pt idx="127">
                    <c:v>1</c:v>
                  </c:pt>
                  <c:pt idx="129">
                    <c:v>کمیت</c:v>
                  </c:pt>
                  <c:pt idx="130">
                    <c:v>1</c:v>
                  </c:pt>
                  <c:pt idx="131">
                    <c:v>50</c:v>
                  </c:pt>
                  <c:pt idx="132">
                    <c:v>60000</c:v>
                  </c:pt>
                  <c:pt idx="133">
                    <c:v>60000</c:v>
                  </c:pt>
                  <c:pt idx="134">
                    <c:v>50000</c:v>
                  </c:pt>
                  <c:pt idx="135">
                    <c:v>1</c:v>
                  </c:pt>
                  <c:pt idx="136">
                    <c:v>50000</c:v>
                  </c:pt>
                  <c:pt idx="137">
                    <c:v>50000</c:v>
                  </c:pt>
                  <c:pt idx="138">
                    <c:v>1000000</c:v>
                  </c:pt>
                  <c:pt idx="139">
                    <c:v>50000</c:v>
                  </c:pt>
                  <c:pt idx="140">
                    <c:v>40000</c:v>
                  </c:pt>
                  <c:pt idx="141">
                    <c:v>15</c:v>
                  </c:pt>
                  <c:pt idx="142">
                    <c:v>20000</c:v>
                  </c:pt>
                  <c:pt idx="143">
                    <c:v>200</c:v>
                  </c:pt>
                  <c:pt idx="144">
                    <c:v>20000</c:v>
                  </c:pt>
                  <c:pt idx="145">
                    <c:v> 1 </c:v>
                  </c:pt>
                  <c:pt idx="146">
                    <c:v> 10 </c:v>
                  </c:pt>
                  <c:pt idx="147">
                    <c:v>50000</c:v>
                  </c:pt>
                  <c:pt idx="148">
                    <c:v>50000</c:v>
                  </c:pt>
                  <c:pt idx="149">
                    <c:v>50000</c:v>
                  </c:pt>
                  <c:pt idx="150">
                    <c:v>10</c:v>
                  </c:pt>
                  <c:pt idx="151">
                    <c:v>12</c:v>
                  </c:pt>
                  <c:pt idx="152">
                    <c:v>100000</c:v>
                  </c:pt>
                  <c:pt idx="153">
                    <c:v>2</c:v>
                  </c:pt>
                  <c:pt idx="154">
                    <c:v>200</c:v>
                  </c:pt>
                  <c:pt idx="155">
                    <c:v>1</c:v>
                  </c:pt>
                  <c:pt idx="157">
                    <c:v>کمیت</c:v>
                  </c:pt>
                  <c:pt idx="158">
                    <c:v> 1 </c:v>
                  </c:pt>
                  <c:pt idx="159">
                    <c:v> 20 </c:v>
                  </c:pt>
                  <c:pt idx="160">
                    <c:v>40</c:v>
                  </c:pt>
                  <c:pt idx="161">
                    <c:v>100</c:v>
                  </c:pt>
                  <c:pt idx="162">
                    <c:v>500</c:v>
                  </c:pt>
                  <c:pt idx="163">
                    <c:v>1000000</c:v>
                  </c:pt>
                  <c:pt idx="164">
                    <c:v>20</c:v>
                  </c:pt>
                  <c:pt idx="165">
                    <c:v> 100,000 </c:v>
                  </c:pt>
                  <c:pt idx="166">
                    <c:v> 100,000 </c:v>
                  </c:pt>
                  <c:pt idx="167">
                    <c:v> 30 </c:v>
                  </c:pt>
                  <c:pt idx="168">
                    <c:v> 24 </c:v>
                  </c:pt>
                  <c:pt idx="169">
                    <c:v> 100,000 </c:v>
                  </c:pt>
                  <c:pt idx="170">
                    <c:v> 1 </c:v>
                  </c:pt>
                  <c:pt idx="172">
                    <c:v>کمیت</c:v>
                  </c:pt>
                  <c:pt idx="173">
                    <c:v>40</c:v>
                  </c:pt>
                  <c:pt idx="174">
                    <c:v> 1 </c:v>
                  </c:pt>
                  <c:pt idx="175">
                    <c:v> 1 </c:v>
                  </c:pt>
                  <c:pt idx="176">
                    <c:v> 40,000 </c:v>
                  </c:pt>
                  <c:pt idx="177">
                    <c:v> 1 </c:v>
                  </c:pt>
                  <c:pt idx="178">
                    <c:v> 1 </c:v>
                  </c:pt>
                  <c:pt idx="180">
                    <c:v>کمیت</c:v>
                  </c:pt>
                  <c:pt idx="181">
                    <c:v>40</c:v>
                  </c:pt>
                  <c:pt idx="182">
                    <c:v> 1 </c:v>
                  </c:pt>
                  <c:pt idx="183">
                    <c:v> 1 </c:v>
                  </c:pt>
                  <c:pt idx="184">
                    <c:v> 40,000 </c:v>
                  </c:pt>
                  <c:pt idx="185">
                    <c:v> 1 </c:v>
                  </c:pt>
                  <c:pt idx="187">
                    <c:v>کمیت</c:v>
                  </c:pt>
                  <c:pt idx="188">
                    <c:v> 1 </c:v>
                  </c:pt>
                  <c:pt idx="189">
                    <c:v> 1 </c:v>
                  </c:pt>
                  <c:pt idx="190">
                    <c:v> 1 </c:v>
                  </c:pt>
                  <c:pt idx="191">
                    <c:v> 20 </c:v>
                  </c:pt>
                  <c:pt idx="192">
                    <c:v>50</c:v>
                  </c:pt>
                  <c:pt idx="193">
                    <c:v>60000</c:v>
                  </c:pt>
                  <c:pt idx="194">
                    <c:v>60000</c:v>
                  </c:pt>
                  <c:pt idx="195">
                    <c:v>50000</c:v>
                  </c:pt>
                  <c:pt idx="196">
                    <c:v>1</c:v>
                  </c:pt>
                  <c:pt idx="197">
                    <c:v>50000</c:v>
                  </c:pt>
                  <c:pt idx="198">
                    <c:v>50000</c:v>
                  </c:pt>
                  <c:pt idx="199">
                    <c:v>1000000</c:v>
                  </c:pt>
                  <c:pt idx="200">
                    <c:v>50000</c:v>
                  </c:pt>
                  <c:pt idx="201">
                    <c:v>40000</c:v>
                  </c:pt>
                  <c:pt idx="202">
                    <c:v>15</c:v>
                  </c:pt>
                  <c:pt idx="203">
                    <c:v>20000</c:v>
                  </c:pt>
                  <c:pt idx="204">
                    <c:v>200</c:v>
                  </c:pt>
                  <c:pt idx="205">
                    <c:v>20000</c:v>
                  </c:pt>
                  <c:pt idx="206">
                    <c:v> 1 </c:v>
                  </c:pt>
                  <c:pt idx="207">
                    <c:v> 10 </c:v>
                  </c:pt>
                  <c:pt idx="208">
                    <c:v> 50,000 </c:v>
                  </c:pt>
                  <c:pt idx="209">
                    <c:v> 50,000 </c:v>
                  </c:pt>
                  <c:pt idx="210">
                    <c:v> 50,000 </c:v>
                  </c:pt>
                  <c:pt idx="211">
                    <c:v> 15 </c:v>
                  </c:pt>
                  <c:pt idx="212">
                    <c:v> 12 </c:v>
                  </c:pt>
                  <c:pt idx="213">
                    <c:v> 200 </c:v>
                  </c:pt>
                  <c:pt idx="214">
                    <c:v> 1 </c:v>
                  </c:pt>
                  <c:pt idx="216">
                    <c:v>کمیت</c:v>
                  </c:pt>
                  <c:pt idx="217">
                    <c:v>1</c:v>
                  </c:pt>
                  <c:pt idx="218">
                    <c:v>40</c:v>
                  </c:pt>
                  <c:pt idx="219">
                    <c:v>50</c:v>
                  </c:pt>
                  <c:pt idx="220">
                    <c:v>60000</c:v>
                  </c:pt>
                  <c:pt idx="221">
                    <c:v>60000</c:v>
                  </c:pt>
                  <c:pt idx="222">
                    <c:v>50000</c:v>
                  </c:pt>
                  <c:pt idx="223">
                    <c:v>1</c:v>
                  </c:pt>
                  <c:pt idx="224">
                    <c:v>50000</c:v>
                  </c:pt>
                  <c:pt idx="225">
                    <c:v>50000</c:v>
                  </c:pt>
                  <c:pt idx="226">
                    <c:v>1000000</c:v>
                  </c:pt>
                  <c:pt idx="227">
                    <c:v>50000</c:v>
                  </c:pt>
                  <c:pt idx="228">
                    <c:v>40000</c:v>
                  </c:pt>
                  <c:pt idx="229">
                    <c:v>15</c:v>
                  </c:pt>
                  <c:pt idx="230">
                    <c:v>20000</c:v>
                  </c:pt>
                  <c:pt idx="231">
                    <c:v>200</c:v>
                  </c:pt>
                  <c:pt idx="232">
                    <c:v>20000</c:v>
                  </c:pt>
                  <c:pt idx="233">
                    <c:v> 1 </c:v>
                  </c:pt>
                  <c:pt idx="234">
                    <c:v>200</c:v>
                  </c:pt>
                  <c:pt idx="235">
                    <c:v>1</c:v>
                  </c:pt>
                  <c:pt idx="237">
                    <c:v>کمیت</c:v>
                  </c:pt>
                  <c:pt idx="238">
                    <c:v>1</c:v>
                  </c:pt>
                  <c:pt idx="239">
                    <c:v>1</c:v>
                  </c:pt>
                  <c:pt idx="240">
                    <c:v>100</c:v>
                  </c:pt>
                  <c:pt idx="241">
                    <c:v>500</c:v>
                  </c:pt>
                  <c:pt idx="242">
                    <c:v>1000000</c:v>
                  </c:pt>
                  <c:pt idx="243">
                    <c:v>1</c:v>
                  </c:pt>
                  <c:pt idx="245">
                    <c:v>کمیت</c:v>
                  </c:pt>
                  <c:pt idx="246">
                    <c:v>1</c:v>
                  </c:pt>
                  <c:pt idx="247">
                    <c:v>1</c:v>
                  </c:pt>
                  <c:pt idx="248">
                    <c:v>100</c:v>
                  </c:pt>
                  <c:pt idx="249">
                    <c:v>500</c:v>
                  </c:pt>
                  <c:pt idx="250">
                    <c:v>1000000</c:v>
                  </c:pt>
                  <c:pt idx="251">
                    <c:v>1</c:v>
                  </c:pt>
                  <c:pt idx="253">
                    <c:v>کمیت</c:v>
                  </c:pt>
                  <c:pt idx="254">
                    <c:v>1</c:v>
                  </c:pt>
                  <c:pt idx="255">
                    <c:v>20</c:v>
                  </c:pt>
                  <c:pt idx="256">
                    <c:v>100</c:v>
                  </c:pt>
                  <c:pt idx="257">
                    <c:v>500</c:v>
                  </c:pt>
                  <c:pt idx="258">
                    <c:v>1000000</c:v>
                  </c:pt>
                  <c:pt idx="259">
                    <c:v>1</c:v>
                  </c:pt>
                  <c:pt idx="261">
                    <c:v>کمیت</c:v>
                  </c:pt>
                  <c:pt idx="262">
                    <c:v>1</c:v>
                  </c:pt>
                  <c:pt idx="263">
                    <c:v>20</c:v>
                  </c:pt>
                  <c:pt idx="264">
                    <c:v>100</c:v>
                  </c:pt>
                  <c:pt idx="265">
                    <c:v>500</c:v>
                  </c:pt>
                  <c:pt idx="266">
                    <c:v>1000000</c:v>
                  </c:pt>
                  <c:pt idx="267">
                    <c:v>1</c:v>
                  </c:pt>
                  <c:pt idx="269">
                    <c:v>کمیت</c:v>
                  </c:pt>
                  <c:pt idx="270">
                    <c:v>1</c:v>
                  </c:pt>
                  <c:pt idx="271">
                    <c:v>20</c:v>
                  </c:pt>
                  <c:pt idx="272">
                    <c:v>100</c:v>
                  </c:pt>
                  <c:pt idx="273">
                    <c:v>500</c:v>
                  </c:pt>
                  <c:pt idx="274">
                    <c:v>1000000</c:v>
                  </c:pt>
                  <c:pt idx="275">
                    <c:v>20</c:v>
                  </c:pt>
                  <c:pt idx="276">
                    <c:v> 100,000 </c:v>
                  </c:pt>
                  <c:pt idx="277">
                    <c:v> 100,000 </c:v>
                  </c:pt>
                  <c:pt idx="278">
                    <c:v> 30 </c:v>
                  </c:pt>
                  <c:pt idx="279">
                    <c:v> 24 </c:v>
                  </c:pt>
                  <c:pt idx="280">
                    <c:v> 100,000 </c:v>
                  </c:pt>
                  <c:pt idx="281">
                    <c:v>1</c:v>
                  </c:pt>
                  <c:pt idx="283">
                    <c:v>کمیت</c:v>
                  </c:pt>
                  <c:pt idx="284">
                    <c:v>1</c:v>
                  </c:pt>
                  <c:pt idx="285">
                    <c:v>20</c:v>
                  </c:pt>
                  <c:pt idx="286">
                    <c:v>100</c:v>
                  </c:pt>
                  <c:pt idx="287">
                    <c:v>500</c:v>
                  </c:pt>
                  <c:pt idx="288">
                    <c:v>1000000</c:v>
                  </c:pt>
                  <c:pt idx="289">
                    <c:v>10</c:v>
                  </c:pt>
                  <c:pt idx="290">
                    <c:v> 50,000 </c:v>
                  </c:pt>
                  <c:pt idx="291">
                    <c:v> 50,000 </c:v>
                  </c:pt>
                  <c:pt idx="292">
                    <c:v> 15 </c:v>
                  </c:pt>
                  <c:pt idx="293">
                    <c:v> 24 </c:v>
                  </c:pt>
                  <c:pt idx="294">
                    <c:v> 50,000 </c:v>
                  </c:pt>
                  <c:pt idx="295">
                    <c:v>1</c:v>
                  </c:pt>
                  <c:pt idx="297">
                    <c:v>1</c:v>
                  </c:pt>
                  <c:pt idx="298">
                    <c:v>1</c:v>
                  </c:pt>
                  <c:pt idx="302">
                    <c:v>کمیت</c:v>
                  </c:pt>
                  <c:pt idx="303">
                    <c:v>2000</c:v>
                  </c:pt>
                  <c:pt idx="304">
                    <c:v>6000</c:v>
                  </c:pt>
                  <c:pt idx="305">
                    <c:v>287</c:v>
                  </c:pt>
                  <c:pt idx="306">
                    <c:v>20</c:v>
                  </c:pt>
                  <c:pt idx="307">
                    <c:v>10000</c:v>
                  </c:pt>
                  <c:pt idx="308">
                    <c:v>2000</c:v>
                  </c:pt>
                  <c:pt idx="309">
                    <c:v>1</c:v>
                  </c:pt>
                  <c:pt idx="311">
                    <c:v>10000</c:v>
                  </c:pt>
                  <c:pt idx="312">
                    <c:v>6000</c:v>
                  </c:pt>
                  <c:pt idx="313">
                    <c:v>250</c:v>
                  </c:pt>
                  <c:pt idx="314">
                    <c:v>11</c:v>
                  </c:pt>
                  <c:pt idx="315">
                    <c:v>10000</c:v>
                  </c:pt>
                  <c:pt idx="316">
                    <c:v>2000</c:v>
                  </c:pt>
                  <c:pt idx="317">
                    <c:v>1</c:v>
                  </c:pt>
                  <c:pt idx="319">
                    <c:v>10000</c:v>
                  </c:pt>
                  <c:pt idx="320">
                    <c:v>2000</c:v>
                  </c:pt>
                  <c:pt idx="321">
                    <c:v>6000</c:v>
                  </c:pt>
                  <c:pt idx="322">
                    <c:v>300</c:v>
                  </c:pt>
                  <c:pt idx="323">
                    <c:v>20</c:v>
                  </c:pt>
                  <c:pt idx="324">
                    <c:v>10000</c:v>
                  </c:pt>
                  <c:pt idx="325">
                    <c:v>1</c:v>
                  </c:pt>
                  <c:pt idx="327">
                    <c:v>60000</c:v>
                  </c:pt>
                  <c:pt idx="328">
                    <c:v>1000</c:v>
                  </c:pt>
                  <c:pt idx="329">
                    <c:v>500</c:v>
                  </c:pt>
                  <c:pt idx="330">
                    <c:v>4000</c:v>
                  </c:pt>
                  <c:pt idx="331">
                    <c:v>1</c:v>
                  </c:pt>
                  <c:pt idx="332">
                    <c:v>1</c:v>
                  </c:pt>
                  <c:pt idx="334">
                    <c:v>8000</c:v>
                  </c:pt>
                  <c:pt idx="335">
                    <c:v>2000</c:v>
                  </c:pt>
                  <c:pt idx="336">
                    <c:v>6000</c:v>
                  </c:pt>
                  <c:pt idx="337">
                    <c:v>250</c:v>
                  </c:pt>
                  <c:pt idx="338">
                    <c:v>12</c:v>
                  </c:pt>
                  <c:pt idx="339">
                    <c:v>1</c:v>
                  </c:pt>
                  <c:pt idx="340">
                    <c:v>1</c:v>
                  </c:pt>
                  <c:pt idx="342">
                    <c:v>8000</c:v>
                  </c:pt>
                  <c:pt idx="346">
                    <c:v>1</c:v>
                  </c:pt>
                  <c:pt idx="348">
                    <c:v>40000</c:v>
                  </c:pt>
                  <c:pt idx="349">
                    <c:v>4000</c:v>
                  </c:pt>
                  <c:pt idx="350">
                    <c:v>20000</c:v>
                  </c:pt>
                  <c:pt idx="351">
                    <c:v>14000</c:v>
                  </c:pt>
                  <c:pt idx="352">
                    <c:v>300</c:v>
                  </c:pt>
                  <c:pt idx="353">
                    <c:v>20</c:v>
                  </c:pt>
                  <c:pt idx="354">
                    <c:v>15000</c:v>
                  </c:pt>
                  <c:pt idx="355">
                    <c:v>1</c:v>
                  </c:pt>
                  <c:pt idx="357">
                    <c:v>6000</c:v>
                  </c:pt>
                  <c:pt idx="358">
                    <c:v>4000</c:v>
                  </c:pt>
                  <c:pt idx="359">
                    <c:v>300</c:v>
                  </c:pt>
                  <c:pt idx="360">
                    <c:v>15</c:v>
                  </c:pt>
                  <c:pt idx="361">
                    <c:v>2000</c:v>
                  </c:pt>
                  <c:pt idx="362">
                    <c:v>1</c:v>
                  </c:pt>
                  <c:pt idx="363">
                    <c:v>1</c:v>
                  </c:pt>
                  <c:pt idx="365">
                    <c:v>10000</c:v>
                  </c:pt>
                  <c:pt idx="366">
                    <c:v>2000</c:v>
                  </c:pt>
                  <c:pt idx="367">
                    <c:v>12000</c:v>
                  </c:pt>
                  <c:pt idx="368">
                    <c:v>300</c:v>
                  </c:pt>
                  <c:pt idx="369">
                    <c:v>15</c:v>
                  </c:pt>
                  <c:pt idx="370">
                    <c:v>20000</c:v>
                  </c:pt>
                  <c:pt idx="371">
                    <c:v>1</c:v>
                  </c:pt>
                  <c:pt idx="373">
                    <c:v>12000</c:v>
                  </c:pt>
                  <c:pt idx="374">
                    <c:v>2000</c:v>
                  </c:pt>
                  <c:pt idx="375">
                    <c:v>20000</c:v>
                  </c:pt>
                  <c:pt idx="376">
                    <c:v>10000</c:v>
                  </c:pt>
                  <c:pt idx="377">
                    <c:v>300</c:v>
                  </c:pt>
                  <c:pt idx="378">
                    <c:v>12</c:v>
                  </c:pt>
                  <c:pt idx="379">
                    <c:v>10000</c:v>
                  </c:pt>
                  <c:pt idx="380">
                    <c:v>1</c:v>
                  </c:pt>
                  <c:pt idx="382">
                    <c:v>10000</c:v>
                  </c:pt>
                  <c:pt idx="383">
                    <c:v>2000</c:v>
                  </c:pt>
                  <c:pt idx="384">
                    <c:v>10000</c:v>
                  </c:pt>
                  <c:pt idx="385">
                    <c:v>300</c:v>
                  </c:pt>
                  <c:pt idx="386">
                    <c:v>20</c:v>
                  </c:pt>
                  <c:pt idx="387">
                    <c:v>10000</c:v>
                  </c:pt>
                  <c:pt idx="388">
                    <c:v>1</c:v>
                  </c:pt>
                  <c:pt idx="390">
                    <c:v>12000</c:v>
                  </c:pt>
                  <c:pt idx="391">
                    <c:v>2000</c:v>
                  </c:pt>
                  <c:pt idx="392">
                    <c:v>10000</c:v>
                  </c:pt>
                  <c:pt idx="393">
                    <c:v>250</c:v>
                  </c:pt>
                  <c:pt idx="394">
                    <c:v>15</c:v>
                  </c:pt>
                  <c:pt idx="395">
                    <c:v>1</c:v>
                  </c:pt>
                  <c:pt idx="396">
                    <c:v>1</c:v>
                  </c:pt>
                  <c:pt idx="398">
                    <c:v>12000</c:v>
                  </c:pt>
                  <c:pt idx="399">
                    <c:v>2000</c:v>
                  </c:pt>
                  <c:pt idx="400">
                    <c:v>10000</c:v>
                  </c:pt>
                  <c:pt idx="401">
                    <c:v>15000</c:v>
                  </c:pt>
                  <c:pt idx="402">
                    <c:v>300</c:v>
                  </c:pt>
                  <c:pt idx="403">
                    <c:v>11</c:v>
                  </c:pt>
                  <c:pt idx="404">
                    <c:v>10000</c:v>
                  </c:pt>
                  <c:pt idx="405">
                    <c:v>1</c:v>
                  </c:pt>
                  <c:pt idx="406">
                    <c:v>1</c:v>
                  </c:pt>
                  <c:pt idx="408">
                    <c:v>10000</c:v>
                  </c:pt>
                  <c:pt idx="409">
                    <c:v>6000</c:v>
                  </c:pt>
                  <c:pt idx="410">
                    <c:v>250</c:v>
                  </c:pt>
                  <c:pt idx="411">
                    <c:v>15</c:v>
                  </c:pt>
                  <c:pt idx="412">
                    <c:v>2000</c:v>
                  </c:pt>
                  <c:pt idx="413">
                    <c:v>1</c:v>
                  </c:pt>
                  <c:pt idx="414">
                    <c:v>1</c:v>
                  </c:pt>
                  <c:pt idx="416">
                    <c:v>20000</c:v>
                  </c:pt>
                  <c:pt idx="417">
                    <c:v>250</c:v>
                  </c:pt>
                  <c:pt idx="418">
                    <c:v>10</c:v>
                  </c:pt>
                  <c:pt idx="419">
                    <c:v>2000</c:v>
                  </c:pt>
                  <c:pt idx="420">
                    <c:v>1</c:v>
                  </c:pt>
                  <c:pt idx="421">
                    <c:v>1</c:v>
                  </c:pt>
                  <c:pt idx="423">
                    <c:v>30000</c:v>
                  </c:pt>
                  <c:pt idx="424">
                    <c:v>4000</c:v>
                  </c:pt>
                  <c:pt idx="425">
                    <c:v>40000</c:v>
                  </c:pt>
                  <c:pt idx="426">
                    <c:v>14000</c:v>
                  </c:pt>
                  <c:pt idx="427">
                    <c:v>300</c:v>
                  </c:pt>
                  <c:pt idx="428">
                    <c:v>20</c:v>
                  </c:pt>
                  <c:pt idx="429">
                    <c:v>15000</c:v>
                  </c:pt>
                  <c:pt idx="430">
                    <c:v>10000</c:v>
                  </c:pt>
                  <c:pt idx="431">
                    <c:v>10000</c:v>
                  </c:pt>
                  <c:pt idx="432">
                    <c:v>10000</c:v>
                  </c:pt>
                  <c:pt idx="433">
                    <c:v>1</c:v>
                  </c:pt>
                  <c:pt idx="434">
                    <c:v>1</c:v>
                  </c:pt>
                  <c:pt idx="435">
                    <c:v>35</c:v>
                  </c:pt>
                  <c:pt idx="436">
                    <c:v>10000</c:v>
                  </c:pt>
                  <c:pt idx="437">
                    <c:v>1</c:v>
                  </c:pt>
                  <c:pt idx="439">
                    <c:v>8000</c:v>
                  </c:pt>
                  <c:pt idx="440">
                    <c:v>6000</c:v>
                  </c:pt>
                  <c:pt idx="441">
                    <c:v>250</c:v>
                  </c:pt>
                  <c:pt idx="442">
                    <c:v>10</c:v>
                  </c:pt>
                  <c:pt idx="443">
                    <c:v>10000</c:v>
                  </c:pt>
                  <c:pt idx="444">
                    <c:v>2000</c:v>
                  </c:pt>
                  <c:pt idx="445">
                    <c:v>1</c:v>
                  </c:pt>
                  <c:pt idx="447">
                    <c:v>8000</c:v>
                  </c:pt>
                  <c:pt idx="448">
                    <c:v>30000</c:v>
                  </c:pt>
                  <c:pt idx="449">
                    <c:v>10000</c:v>
                  </c:pt>
                  <c:pt idx="450">
                    <c:v>300</c:v>
                  </c:pt>
                  <c:pt idx="451">
                    <c:v>15</c:v>
                  </c:pt>
                  <c:pt idx="452">
                    <c:v>10000</c:v>
                  </c:pt>
                  <c:pt idx="453">
                    <c:v>2000</c:v>
                  </c:pt>
                  <c:pt idx="454">
                    <c:v>1</c:v>
                  </c:pt>
                  <c:pt idx="456">
                    <c:v>16000</c:v>
                  </c:pt>
                  <c:pt idx="457">
                    <c:v>4000</c:v>
                  </c:pt>
                  <c:pt idx="458">
                    <c:v>12000</c:v>
                  </c:pt>
                  <c:pt idx="459">
                    <c:v>350</c:v>
                  </c:pt>
                  <c:pt idx="460">
                    <c:v>15</c:v>
                  </c:pt>
                  <c:pt idx="461">
                    <c:v>30000</c:v>
                  </c:pt>
                  <c:pt idx="462">
                    <c:v>1</c:v>
                  </c:pt>
                  <c:pt idx="464">
                    <c:v>12000</c:v>
                  </c:pt>
                  <c:pt idx="465">
                    <c:v>2000</c:v>
                  </c:pt>
                  <c:pt idx="466">
                    <c:v>20000</c:v>
                  </c:pt>
                  <c:pt idx="467">
                    <c:v>12000</c:v>
                  </c:pt>
                  <c:pt idx="468">
                    <c:v>300</c:v>
                  </c:pt>
                  <c:pt idx="469">
                    <c:v>15</c:v>
                  </c:pt>
                  <c:pt idx="470">
                    <c:v>10000</c:v>
                  </c:pt>
                  <c:pt idx="471">
                    <c:v>1</c:v>
                  </c:pt>
                  <c:pt idx="473">
                    <c:v>12000</c:v>
                  </c:pt>
                  <c:pt idx="474">
                    <c:v>10000</c:v>
                  </c:pt>
                  <c:pt idx="475">
                    <c:v>350</c:v>
                  </c:pt>
                  <c:pt idx="476">
                    <c:v>15</c:v>
                  </c:pt>
                  <c:pt idx="477">
                    <c:v>10000</c:v>
                  </c:pt>
                  <c:pt idx="478">
                    <c:v>2000</c:v>
                  </c:pt>
                  <c:pt idx="479">
                    <c:v>1</c:v>
                  </c:pt>
                  <c:pt idx="481">
                    <c:v>20000</c:v>
                  </c:pt>
                  <c:pt idx="482">
                    <c:v>12000</c:v>
                  </c:pt>
                  <c:pt idx="483">
                    <c:v>300</c:v>
                  </c:pt>
                  <c:pt idx="484">
                    <c:v>15</c:v>
                  </c:pt>
                  <c:pt idx="485">
                    <c:v>12000</c:v>
                  </c:pt>
                  <c:pt idx="486">
                    <c:v>4000</c:v>
                  </c:pt>
                  <c:pt idx="487">
                    <c:v>1</c:v>
                  </c:pt>
                  <c:pt idx="489">
                    <c:v>16000</c:v>
                  </c:pt>
                  <c:pt idx="490">
                    <c:v>12000</c:v>
                  </c:pt>
                  <c:pt idx="491">
                    <c:v>300</c:v>
                  </c:pt>
                  <c:pt idx="492">
                    <c:v>15</c:v>
                  </c:pt>
                  <c:pt idx="493">
                    <c:v>10000</c:v>
                  </c:pt>
                  <c:pt idx="494">
                    <c:v>2000</c:v>
                  </c:pt>
                  <c:pt idx="495">
                    <c:v>1</c:v>
                  </c:pt>
                  <c:pt idx="497">
                    <c:v>30000</c:v>
                  </c:pt>
                  <c:pt idx="498">
                    <c:v>10000</c:v>
                  </c:pt>
                  <c:pt idx="499">
                    <c:v>300</c:v>
                  </c:pt>
                  <c:pt idx="500">
                    <c:v>15</c:v>
                  </c:pt>
                  <c:pt idx="501">
                    <c:v>10000</c:v>
                  </c:pt>
                  <c:pt idx="502">
                    <c:v>4000</c:v>
                  </c:pt>
                  <c:pt idx="503">
                    <c:v>1</c:v>
                  </c:pt>
                  <c:pt idx="505">
                    <c:v>28000</c:v>
                  </c:pt>
                  <c:pt idx="506">
                    <c:v>4000</c:v>
                  </c:pt>
                  <c:pt idx="507">
                    <c:v>12000</c:v>
                  </c:pt>
                  <c:pt idx="508">
                    <c:v>300</c:v>
                  </c:pt>
                  <c:pt idx="509">
                    <c:v>15</c:v>
                  </c:pt>
                  <c:pt idx="510">
                    <c:v>20000</c:v>
                  </c:pt>
                  <c:pt idx="511">
                    <c:v>1</c:v>
                  </c:pt>
                  <c:pt idx="513">
                    <c:v>4000</c:v>
                  </c:pt>
                  <c:pt idx="514">
                    <c:v>2000</c:v>
                  </c:pt>
                  <c:pt idx="515">
                    <c:v>300</c:v>
                  </c:pt>
                  <c:pt idx="516">
                    <c:v>10</c:v>
                  </c:pt>
                  <c:pt idx="517">
                    <c:v>10</c:v>
                  </c:pt>
                  <c:pt idx="518">
                    <c:v>1</c:v>
                  </c:pt>
                  <c:pt idx="520">
                    <c:v>16000</c:v>
                  </c:pt>
                  <c:pt idx="521">
                    <c:v>2000</c:v>
                  </c:pt>
                  <c:pt idx="522">
                    <c:v>12000</c:v>
                  </c:pt>
                  <c:pt idx="523">
                    <c:v>300</c:v>
                  </c:pt>
                  <c:pt idx="524">
                    <c:v>12</c:v>
                  </c:pt>
                  <c:pt idx="525">
                    <c:v>10000</c:v>
                  </c:pt>
                  <c:pt idx="526">
                    <c:v>1</c:v>
                  </c:pt>
                  <c:pt idx="528">
                    <c:v>14000</c:v>
                  </c:pt>
                  <c:pt idx="529">
                    <c:v>2000</c:v>
                  </c:pt>
                  <c:pt idx="530">
                    <c:v>10000</c:v>
                  </c:pt>
                  <c:pt idx="531">
                    <c:v>340</c:v>
                  </c:pt>
                  <c:pt idx="532">
                    <c:v>12</c:v>
                  </c:pt>
                  <c:pt idx="533">
                    <c:v>10000</c:v>
                  </c:pt>
                  <c:pt idx="534">
                    <c:v>1</c:v>
                  </c:pt>
                  <c:pt idx="538">
                    <c:v>کمیت</c:v>
                  </c:pt>
                  <c:pt idx="539">
                    <c:v>4</c:v>
                  </c:pt>
                  <c:pt idx="540">
                    <c:v>10</c:v>
                  </c:pt>
                  <c:pt idx="541">
                    <c:v>1000</c:v>
                  </c:pt>
                  <c:pt idx="542">
                    <c:v>1</c:v>
                  </c:pt>
                  <c:pt idx="544">
                    <c:v>کمیت</c:v>
                  </c:pt>
                  <c:pt idx="545">
                    <c:v>1</c:v>
                  </c:pt>
                  <c:pt idx="546">
                    <c:v>15</c:v>
                  </c:pt>
                  <c:pt idx="548">
                    <c:v>کمیت</c:v>
                  </c:pt>
                  <c:pt idx="549">
                    <c:v>9</c:v>
                  </c:pt>
                  <c:pt idx="553">
                    <c:v>1</c:v>
                  </c:pt>
                  <c:pt idx="581">
                    <c:v>معیاد </c:v>
                  </c:pt>
                  <c:pt idx="582">
                    <c:v>تاریخ آغاز</c:v>
                  </c:pt>
                  <c:pt idx="583">
                    <c:v>1396/10/1</c:v>
                  </c:pt>
                  <c:pt idx="584">
                    <c:v>1396/10/1</c:v>
                  </c:pt>
                  <c:pt idx="585">
                    <c:v>1396/10/1</c:v>
                  </c:pt>
                  <c:pt idx="587">
                    <c:v>تاریخ آغاز</c:v>
                  </c:pt>
                  <c:pt idx="588">
                    <c:v>1396/10/1</c:v>
                  </c:pt>
                  <c:pt idx="589">
                    <c:v>1396/10/1</c:v>
                  </c:pt>
                  <c:pt idx="590">
                    <c:v>1396/10/1</c:v>
                  </c:pt>
                  <c:pt idx="592">
                    <c:v>تاریخ آغاز</c:v>
                  </c:pt>
                  <c:pt idx="593">
                    <c:v>1396/10/1</c:v>
                  </c:pt>
                  <c:pt idx="594">
                    <c:v>1396/10/1</c:v>
                  </c:pt>
                  <c:pt idx="595">
                    <c:v>1396/10/1</c:v>
                  </c:pt>
                  <c:pt idx="596">
                    <c:v>1396/10/1</c:v>
                  </c:pt>
                  <c:pt idx="598">
                    <c:v>تاریخ آغاز</c:v>
                  </c:pt>
                  <c:pt idx="599">
                    <c:v>1396/10/1</c:v>
                  </c:pt>
                  <c:pt idx="600">
                    <c:v>1396/10/1</c:v>
                  </c:pt>
                  <c:pt idx="601">
                    <c:v>1396/10/1</c:v>
                  </c:pt>
                  <c:pt idx="603">
                    <c:v>تاریخ آغاز</c:v>
                  </c:pt>
                  <c:pt idx="604">
                    <c:v>1396/10/1</c:v>
                  </c:pt>
                  <c:pt idx="605">
                    <c:v>1396/10/1</c:v>
                  </c:pt>
                  <c:pt idx="606">
                    <c:v>1396/10/1</c:v>
                  </c:pt>
                  <c:pt idx="608">
                    <c:v>تاریخ آغاز</c:v>
                  </c:pt>
                  <c:pt idx="609">
                    <c:v>1396/10/1</c:v>
                  </c:pt>
                  <c:pt idx="610">
                    <c:v>1396/10/1</c:v>
                  </c:pt>
                  <c:pt idx="612">
                    <c:v>تاریخ آغاز</c:v>
                  </c:pt>
                  <c:pt idx="613">
                    <c:v>1396/10/1</c:v>
                  </c:pt>
                  <c:pt idx="614">
                    <c:v>1396/10/1</c:v>
                  </c:pt>
                  <c:pt idx="616">
                    <c:v>تاریخ آغاز</c:v>
                  </c:pt>
                  <c:pt idx="617">
                    <c:v>1396/10/1</c:v>
                  </c:pt>
                  <c:pt idx="618">
                    <c:v>1396/10/1</c:v>
                  </c:pt>
                  <c:pt idx="620">
                    <c:v>تاریخ آغاز</c:v>
                  </c:pt>
                  <c:pt idx="621">
                    <c:v>1396/10/1</c:v>
                  </c:pt>
                  <c:pt idx="622">
                    <c:v>1396/10/1</c:v>
                  </c:pt>
                  <c:pt idx="623">
                    <c:v>1396/10/1</c:v>
                  </c:pt>
                  <c:pt idx="624">
                    <c:v>1396/10/1</c:v>
                  </c:pt>
                  <c:pt idx="626">
                    <c:v>تاریخ آغاز</c:v>
                  </c:pt>
                  <c:pt idx="627">
                    <c:v>1396/10/1</c:v>
                  </c:pt>
                  <c:pt idx="628">
                    <c:v>1396/10/1</c:v>
                  </c:pt>
                  <c:pt idx="629">
                    <c:v>1396/10/1</c:v>
                  </c:pt>
                  <c:pt idx="630">
                    <c:v>1396/10/1</c:v>
                  </c:pt>
                  <c:pt idx="631">
                    <c:v>1396/10/1</c:v>
                  </c:pt>
                  <c:pt idx="633">
                    <c:v>تاریخ آغاز</c:v>
                  </c:pt>
                  <c:pt idx="634">
                    <c:v>1396/10/1</c:v>
                  </c:pt>
                  <c:pt idx="635">
                    <c:v>1396/10/1</c:v>
                  </c:pt>
                  <c:pt idx="636">
                    <c:v>1396/10/1</c:v>
                  </c:pt>
                  <c:pt idx="638">
                    <c:v>تاریخ آغاز</c:v>
                  </c:pt>
                  <c:pt idx="639">
                    <c:v>1396/10/1</c:v>
                  </c:pt>
                  <c:pt idx="640">
                    <c:v>1396/10/1</c:v>
                  </c:pt>
                  <c:pt idx="641">
                    <c:v>1396/10/1</c:v>
                  </c:pt>
                  <c:pt idx="643">
                    <c:v>تاریخ آغاز</c:v>
                  </c:pt>
                  <c:pt idx="644">
                    <c:v>1396/10/1</c:v>
                  </c:pt>
                  <c:pt idx="645">
                    <c:v>1396/10/1</c:v>
                  </c:pt>
                  <c:pt idx="647">
                    <c:v> -   </c:v>
                  </c:pt>
                  <c:pt idx="649">
                    <c:v>معیاد پروژه </c:v>
                  </c:pt>
                  <c:pt idx="650">
                    <c:v>تاریخ آغاز</c:v>
                  </c:pt>
                  <c:pt idx="651">
                    <c:v>1جدی</c:v>
                  </c:pt>
                  <c:pt idx="652">
                    <c:v>30حوت</c:v>
                  </c:pt>
                  <c:pt idx="655">
                    <c:v>1 حوت </c:v>
                  </c:pt>
                  <c:pt idx="656">
                    <c:v>1 حوت</c:v>
                  </c:pt>
                  <c:pt idx="658">
                    <c:v>1میزان </c:v>
                  </c:pt>
                  <c:pt idx="659">
                    <c:v>1عقرب</c:v>
                  </c:pt>
                  <c:pt idx="660">
                    <c:v>1جوزا</c:v>
                  </c:pt>
                  <c:pt idx="661">
                    <c:v>1جوزا</c:v>
                  </c:pt>
                  <c:pt idx="662">
                    <c:v>1عقرب</c:v>
                  </c:pt>
                  <c:pt idx="663">
                    <c:v>12 جدی</c:v>
                  </c:pt>
                  <c:pt idx="665">
                    <c:v>تاریخ آغاز</c:v>
                  </c:pt>
                  <c:pt idx="667">
                    <c:v>1حمل</c:v>
                  </c:pt>
                  <c:pt idx="668">
                    <c:v>1جدی</c:v>
                  </c:pt>
                  <c:pt idx="669">
                    <c:v>12 جدی</c:v>
                  </c:pt>
                  <c:pt idx="670">
                    <c:v>15دلو</c:v>
                  </c:pt>
                  <c:pt idx="671">
                    <c:v>15دلو</c:v>
                  </c:pt>
                  <c:pt idx="672">
                    <c:v>1عقرب</c:v>
                  </c:pt>
                  <c:pt idx="673">
                    <c:v>1دلو</c:v>
                  </c:pt>
                  <c:pt idx="674">
                    <c:v>1عقرب</c:v>
                  </c:pt>
                  <c:pt idx="675">
                    <c:v>1عقرب</c:v>
                  </c:pt>
                  <c:pt idx="676">
                    <c:v>1عقرب</c:v>
                  </c:pt>
                  <c:pt idx="677">
                    <c:v>1عقرب</c:v>
                  </c:pt>
                  <c:pt idx="678">
                    <c:v>1حوت</c:v>
                  </c:pt>
                  <c:pt idx="679">
                    <c:v>1جدی</c:v>
                  </c:pt>
                  <c:pt idx="680">
                    <c:v>15حوت</c:v>
                  </c:pt>
                  <c:pt idx="681">
                    <c:v>15حوت</c:v>
                  </c:pt>
                  <c:pt idx="682">
                    <c:v>اول ثور</c:v>
                  </c:pt>
                  <c:pt idx="683">
                    <c:v>1ثور</c:v>
                  </c:pt>
                  <c:pt idx="685">
                    <c:v>1میزان </c:v>
                  </c:pt>
                  <c:pt idx="686">
                    <c:v>1عقرب</c:v>
                  </c:pt>
                  <c:pt idx="687">
                    <c:v>1جوزا</c:v>
                  </c:pt>
                  <c:pt idx="688">
                    <c:v>1جوزا</c:v>
                  </c:pt>
                  <c:pt idx="689">
                    <c:v>1عقرب</c:v>
                  </c:pt>
                  <c:pt idx="690">
                    <c:v>12 جدی</c:v>
                  </c:pt>
                  <c:pt idx="691">
                    <c:v>12 جدی</c:v>
                  </c:pt>
                  <c:pt idx="693">
                    <c:v>تاریخ آغاز</c:v>
                  </c:pt>
                  <c:pt idx="694">
                    <c:v>1جدی</c:v>
                  </c:pt>
                  <c:pt idx="695">
                    <c:v>30حوت</c:v>
                  </c:pt>
                  <c:pt idx="696">
                    <c:v>اجدی</c:v>
                  </c:pt>
                  <c:pt idx="697">
                    <c:v>اجدی</c:v>
                  </c:pt>
                  <c:pt idx="698">
                    <c:v>1 حوت </c:v>
                  </c:pt>
                  <c:pt idx="699">
                    <c:v>1 حوت</c:v>
                  </c:pt>
                  <c:pt idx="701">
                    <c:v>1میزان </c:v>
                  </c:pt>
                  <c:pt idx="702">
                    <c:v>1عقرب</c:v>
                  </c:pt>
                  <c:pt idx="703">
                    <c:v>1جوزا</c:v>
                  </c:pt>
                  <c:pt idx="704">
                    <c:v>1جوزا</c:v>
                  </c:pt>
                  <c:pt idx="705">
                    <c:v>1عقرب</c:v>
                  </c:pt>
                  <c:pt idx="706">
                    <c:v>12 جدی</c:v>
                  </c:pt>
                  <c:pt idx="708">
                    <c:v>تاریخ آغاز</c:v>
                  </c:pt>
                  <c:pt idx="709">
                    <c:v>1جدی</c:v>
                  </c:pt>
                  <c:pt idx="710">
                    <c:v>12 جدی</c:v>
                  </c:pt>
                  <c:pt idx="711">
                    <c:v>15دلو</c:v>
                  </c:pt>
                  <c:pt idx="712">
                    <c:v>15دلو</c:v>
                  </c:pt>
                  <c:pt idx="713">
                    <c:v>1عقرب</c:v>
                  </c:pt>
                  <c:pt idx="714">
                    <c:v>1دلو</c:v>
                  </c:pt>
                  <c:pt idx="715">
                    <c:v>1عقرب</c:v>
                  </c:pt>
                  <c:pt idx="716">
                    <c:v>1عقرب</c:v>
                  </c:pt>
                  <c:pt idx="717">
                    <c:v>1عقرب</c:v>
                  </c:pt>
                  <c:pt idx="718">
                    <c:v>1عقرب</c:v>
                  </c:pt>
                  <c:pt idx="719">
                    <c:v>1حوت</c:v>
                  </c:pt>
                  <c:pt idx="720">
                    <c:v>1جدی</c:v>
                  </c:pt>
                  <c:pt idx="721">
                    <c:v>15حوت</c:v>
                  </c:pt>
                  <c:pt idx="722">
                    <c:v>15حوت</c:v>
                  </c:pt>
                  <c:pt idx="723">
                    <c:v>اول ثور</c:v>
                  </c:pt>
                  <c:pt idx="724">
                    <c:v>1ثور</c:v>
                  </c:pt>
                  <c:pt idx="726">
                    <c:v>1میزان</c:v>
                  </c:pt>
                  <c:pt idx="727">
                    <c:v>1عقرب</c:v>
                  </c:pt>
                  <c:pt idx="728">
                    <c:v>1عقرب</c:v>
                  </c:pt>
                  <c:pt idx="729">
                    <c:v>1جوزا</c:v>
                  </c:pt>
                  <c:pt idx="730">
                    <c:v>1جوزا</c:v>
                  </c:pt>
                  <c:pt idx="731">
                    <c:v>1عقرب</c:v>
                  </c:pt>
                  <c:pt idx="732">
                    <c:v>1عقرب</c:v>
                  </c:pt>
                  <c:pt idx="733">
                    <c:v>12 جدی</c:v>
                  </c:pt>
                  <c:pt idx="734">
                    <c:v>12 جدی</c:v>
                  </c:pt>
                  <c:pt idx="736">
                    <c:v>تاریخ آغاز</c:v>
                  </c:pt>
                  <c:pt idx="737">
                    <c:v>1جدی</c:v>
                  </c:pt>
                  <c:pt idx="738">
                    <c:v>30حوت</c:v>
                  </c:pt>
                  <c:pt idx="739">
                    <c:v>اجدی</c:v>
                  </c:pt>
                  <c:pt idx="740">
                    <c:v>1جدی</c:v>
                  </c:pt>
                  <c:pt idx="741">
                    <c:v>1 حوت </c:v>
                  </c:pt>
                  <c:pt idx="742">
                    <c:v>1 حوت</c:v>
                  </c:pt>
                  <c:pt idx="744">
                    <c:v>1میزان</c:v>
                  </c:pt>
                  <c:pt idx="745">
                    <c:v>1عقرب</c:v>
                  </c:pt>
                  <c:pt idx="746">
                    <c:v>1جوزا</c:v>
                  </c:pt>
                  <c:pt idx="747">
                    <c:v>1جوزا</c:v>
                  </c:pt>
                  <c:pt idx="748">
                    <c:v>1عقرب</c:v>
                  </c:pt>
                  <c:pt idx="749">
                    <c:v>1جدی</c:v>
                  </c:pt>
                  <c:pt idx="751">
                    <c:v>تاریخ آغاز</c:v>
                  </c:pt>
                  <c:pt idx="752">
                    <c:v>1حمل</c:v>
                  </c:pt>
                  <c:pt idx="753">
                    <c:v>1حمل</c:v>
                  </c:pt>
                  <c:pt idx="754">
                    <c:v>1جدی</c:v>
                  </c:pt>
                  <c:pt idx="755">
                    <c:v>اول ثور</c:v>
                  </c:pt>
                  <c:pt idx="756">
                    <c:v>1ثور</c:v>
                  </c:pt>
                  <c:pt idx="757">
                    <c:v>1جدی</c:v>
                  </c:pt>
                  <c:pt idx="759">
                    <c:v>تاریخ آغاز</c:v>
                  </c:pt>
                  <c:pt idx="760">
                    <c:v>1حمل</c:v>
                  </c:pt>
                  <c:pt idx="761">
                    <c:v>1جدی</c:v>
                  </c:pt>
                  <c:pt idx="762">
                    <c:v>1ثور</c:v>
                  </c:pt>
                  <c:pt idx="763">
                    <c:v>اول ثور</c:v>
                  </c:pt>
                  <c:pt idx="764">
                    <c:v>1جدی</c:v>
                  </c:pt>
                  <c:pt idx="766">
                    <c:v>تاریخ آغاز</c:v>
                  </c:pt>
                  <c:pt idx="767">
                    <c:v>1حمل</c:v>
                  </c:pt>
                  <c:pt idx="768">
                    <c:v>1جدی</c:v>
                  </c:pt>
                  <c:pt idx="769">
                    <c:v>1حمل</c:v>
                  </c:pt>
                  <c:pt idx="770">
                    <c:v>12 جدی</c:v>
                  </c:pt>
                  <c:pt idx="771">
                    <c:v>12 جدی</c:v>
                  </c:pt>
                  <c:pt idx="772">
                    <c:v>15دلو</c:v>
                  </c:pt>
                  <c:pt idx="773">
                    <c:v>15دلو</c:v>
                  </c:pt>
                  <c:pt idx="774">
                    <c:v>1عقرب</c:v>
                  </c:pt>
                  <c:pt idx="775">
                    <c:v>1دلو</c:v>
                  </c:pt>
                  <c:pt idx="776">
                    <c:v>1عقرب</c:v>
                  </c:pt>
                  <c:pt idx="777">
                    <c:v>1عقرب</c:v>
                  </c:pt>
                  <c:pt idx="778">
                    <c:v>1عقرب</c:v>
                  </c:pt>
                  <c:pt idx="779">
                    <c:v>1عقرب</c:v>
                  </c:pt>
                  <c:pt idx="780">
                    <c:v>1حوت</c:v>
                  </c:pt>
                  <c:pt idx="781">
                    <c:v>1جدی</c:v>
                  </c:pt>
                  <c:pt idx="782">
                    <c:v>15حوت</c:v>
                  </c:pt>
                  <c:pt idx="783">
                    <c:v>15حوت</c:v>
                  </c:pt>
                  <c:pt idx="784">
                    <c:v>اول ثور</c:v>
                  </c:pt>
                  <c:pt idx="785">
                    <c:v>1ثور</c:v>
                  </c:pt>
                  <c:pt idx="786">
                    <c:v>1جدی</c:v>
                  </c:pt>
                  <c:pt idx="787">
                    <c:v>1میزان</c:v>
                  </c:pt>
                  <c:pt idx="788">
                    <c:v>1عقرب</c:v>
                  </c:pt>
                  <c:pt idx="789">
                    <c:v>1جوزا</c:v>
                  </c:pt>
                  <c:pt idx="790">
                    <c:v>1جوزا</c:v>
                  </c:pt>
                  <c:pt idx="791">
                    <c:v>1عقرب</c:v>
                  </c:pt>
                  <c:pt idx="792">
                    <c:v>1جدی</c:v>
                  </c:pt>
                  <c:pt idx="793">
                    <c:v>1جدی</c:v>
                  </c:pt>
                  <c:pt idx="795">
                    <c:v>تاریخ آغاز</c:v>
                  </c:pt>
                  <c:pt idx="796">
                    <c:v>1جدی</c:v>
                  </c:pt>
                  <c:pt idx="797">
                    <c:v>اجدی</c:v>
                  </c:pt>
                  <c:pt idx="798">
                    <c:v>12 جدی</c:v>
                  </c:pt>
                  <c:pt idx="799">
                    <c:v>15دلو</c:v>
                  </c:pt>
                  <c:pt idx="800">
                    <c:v>15دلو</c:v>
                  </c:pt>
                  <c:pt idx="801">
                    <c:v>1عقرب</c:v>
                  </c:pt>
                  <c:pt idx="802">
                    <c:v>1دلو</c:v>
                  </c:pt>
                  <c:pt idx="803">
                    <c:v>1عقرب</c:v>
                  </c:pt>
                  <c:pt idx="804">
                    <c:v>1عقرب</c:v>
                  </c:pt>
                  <c:pt idx="805">
                    <c:v>1عقرب</c:v>
                  </c:pt>
                  <c:pt idx="806">
                    <c:v>1عقرب</c:v>
                  </c:pt>
                  <c:pt idx="807">
                    <c:v>1حوت</c:v>
                  </c:pt>
                  <c:pt idx="808">
                    <c:v>1جدی</c:v>
                  </c:pt>
                  <c:pt idx="809">
                    <c:v>15حوت</c:v>
                  </c:pt>
                  <c:pt idx="810">
                    <c:v>15حوت</c:v>
                  </c:pt>
                  <c:pt idx="811">
                    <c:v>اول ثور</c:v>
                  </c:pt>
                  <c:pt idx="812">
                    <c:v>1ثور</c:v>
                  </c:pt>
                  <c:pt idx="813">
                    <c:v>12 جدی</c:v>
                  </c:pt>
                  <c:pt idx="814">
                    <c:v>12 جدی</c:v>
                  </c:pt>
                  <c:pt idx="816">
                    <c:v>تاریخ آغاز</c:v>
                  </c:pt>
                  <c:pt idx="817">
                    <c:v>1جدی</c:v>
                  </c:pt>
                  <c:pt idx="818">
                    <c:v>30حوت</c:v>
                  </c:pt>
                  <c:pt idx="819">
                    <c:v>اجدی</c:v>
                  </c:pt>
                  <c:pt idx="820">
                    <c:v>1 حوت </c:v>
                  </c:pt>
                  <c:pt idx="821">
                    <c:v>1 حوت</c:v>
                  </c:pt>
                  <c:pt idx="822">
                    <c:v>12 جدی</c:v>
                  </c:pt>
                  <c:pt idx="824">
                    <c:v>تاریخ آغاز</c:v>
                  </c:pt>
                  <c:pt idx="825">
                    <c:v>1جدی</c:v>
                  </c:pt>
                  <c:pt idx="826">
                    <c:v>30حوت</c:v>
                  </c:pt>
                  <c:pt idx="827">
                    <c:v>اجدی</c:v>
                  </c:pt>
                  <c:pt idx="828">
                    <c:v>1 حوت </c:v>
                  </c:pt>
                  <c:pt idx="829">
                    <c:v>1 حوت</c:v>
                  </c:pt>
                  <c:pt idx="830">
                    <c:v>12 جدی</c:v>
                  </c:pt>
                  <c:pt idx="832">
                    <c:v>تاریخ آغاز</c:v>
                  </c:pt>
                  <c:pt idx="833">
                    <c:v>1جدی</c:v>
                  </c:pt>
                  <c:pt idx="834">
                    <c:v>30حوت</c:v>
                  </c:pt>
                  <c:pt idx="835">
                    <c:v>اجدی</c:v>
                  </c:pt>
                  <c:pt idx="836">
                    <c:v>1 حوت </c:v>
                  </c:pt>
                  <c:pt idx="837">
                    <c:v>1 حوت</c:v>
                  </c:pt>
                  <c:pt idx="838">
                    <c:v>12 جدی</c:v>
                  </c:pt>
                  <c:pt idx="840">
                    <c:v>تاریخ آغاز</c:v>
                  </c:pt>
                  <c:pt idx="841">
                    <c:v>1جدی</c:v>
                  </c:pt>
                  <c:pt idx="842">
                    <c:v>30حوت</c:v>
                  </c:pt>
                  <c:pt idx="843">
                    <c:v>اجدی</c:v>
                  </c:pt>
                  <c:pt idx="844">
                    <c:v>1 حوت </c:v>
                  </c:pt>
                  <c:pt idx="845">
                    <c:v>1 حوت</c:v>
                  </c:pt>
                  <c:pt idx="846">
                    <c:v>12 جدی</c:v>
                  </c:pt>
                  <c:pt idx="848">
                    <c:v>تاریخ آغاز</c:v>
                  </c:pt>
                  <c:pt idx="849">
                    <c:v>1جدی</c:v>
                  </c:pt>
                  <c:pt idx="850">
                    <c:v>30حوت</c:v>
                  </c:pt>
                  <c:pt idx="851">
                    <c:v>اجدی</c:v>
                  </c:pt>
                  <c:pt idx="852">
                    <c:v>1 حوت </c:v>
                  </c:pt>
                  <c:pt idx="853">
                    <c:v>1 حوت</c:v>
                  </c:pt>
                  <c:pt idx="855">
                    <c:v>1میزان</c:v>
                  </c:pt>
                  <c:pt idx="856">
                    <c:v>1عقرب</c:v>
                  </c:pt>
                  <c:pt idx="857">
                    <c:v>1جوزا</c:v>
                  </c:pt>
                  <c:pt idx="858">
                    <c:v>1جوزا</c:v>
                  </c:pt>
                  <c:pt idx="859">
                    <c:v>1عقرب</c:v>
                  </c:pt>
                  <c:pt idx="860">
                    <c:v>12 جدی</c:v>
                  </c:pt>
                  <c:pt idx="862">
                    <c:v>تاریخ آغاز</c:v>
                  </c:pt>
                  <c:pt idx="863">
                    <c:v>1جدی</c:v>
                  </c:pt>
                  <c:pt idx="864">
                    <c:v>30حوت</c:v>
                  </c:pt>
                  <c:pt idx="865">
                    <c:v>اجدی</c:v>
                  </c:pt>
                  <c:pt idx="866">
                    <c:v>1 حوت </c:v>
                  </c:pt>
                  <c:pt idx="867">
                    <c:v>1 حوت</c:v>
                  </c:pt>
                  <c:pt idx="869">
                    <c:v>1میزان</c:v>
                  </c:pt>
                  <c:pt idx="870">
                    <c:v>1عقرب</c:v>
                  </c:pt>
                  <c:pt idx="871">
                    <c:v>1جوزا</c:v>
                  </c:pt>
                  <c:pt idx="872">
                    <c:v>1جوزا</c:v>
                  </c:pt>
                  <c:pt idx="873">
                    <c:v>1عقرب</c:v>
                  </c:pt>
                  <c:pt idx="874">
                    <c:v>12 جدی</c:v>
                  </c:pt>
                  <c:pt idx="878">
                    <c:v> -   </c:v>
                  </c:pt>
                  <c:pt idx="879">
                    <c:v> -   </c:v>
                  </c:pt>
                  <c:pt idx="881">
                    <c:v>تاریخ آغاز</c:v>
                  </c:pt>
                  <c:pt idx="882">
                    <c:v>1جدی</c:v>
                  </c:pt>
                  <c:pt idx="883">
                    <c:v>1جدی</c:v>
                  </c:pt>
                  <c:pt idx="884">
                    <c:v>1جدی</c:v>
                  </c:pt>
                  <c:pt idx="885">
                    <c:v>1جدی</c:v>
                  </c:pt>
                  <c:pt idx="886">
                    <c:v>1جدی</c:v>
                  </c:pt>
                  <c:pt idx="887">
                    <c:v>1جدی</c:v>
                  </c:pt>
                  <c:pt idx="888">
                    <c:v>1جدی</c:v>
                  </c:pt>
                  <c:pt idx="890">
                    <c:v>1جدی</c:v>
                  </c:pt>
                  <c:pt idx="891">
                    <c:v>1جدی</c:v>
                  </c:pt>
                  <c:pt idx="892">
                    <c:v>1جدی</c:v>
                  </c:pt>
                  <c:pt idx="893">
                    <c:v>1جدی</c:v>
                  </c:pt>
                  <c:pt idx="894">
                    <c:v>1جدی</c:v>
                  </c:pt>
                  <c:pt idx="895">
                    <c:v>1جدی</c:v>
                  </c:pt>
                  <c:pt idx="896">
                    <c:v>1جدی</c:v>
                  </c:pt>
                  <c:pt idx="898">
                    <c:v>1جدی</c:v>
                  </c:pt>
                  <c:pt idx="899">
                    <c:v>1جدی</c:v>
                  </c:pt>
                  <c:pt idx="900">
                    <c:v>1جدی</c:v>
                  </c:pt>
                  <c:pt idx="901">
                    <c:v>1جدی</c:v>
                  </c:pt>
                  <c:pt idx="902">
                    <c:v>1جدی</c:v>
                  </c:pt>
                  <c:pt idx="903">
                    <c:v>1جدی</c:v>
                  </c:pt>
                  <c:pt idx="904">
                    <c:v>1جدی</c:v>
                  </c:pt>
                  <c:pt idx="906">
                    <c:v>1جدی</c:v>
                  </c:pt>
                  <c:pt idx="907">
                    <c:v>1جدی</c:v>
                  </c:pt>
                  <c:pt idx="908">
                    <c:v>1جدی</c:v>
                  </c:pt>
                  <c:pt idx="909">
                    <c:v>1جدی</c:v>
                  </c:pt>
                  <c:pt idx="910">
                    <c:v>1جدی</c:v>
                  </c:pt>
                  <c:pt idx="911">
                    <c:v>1جدی</c:v>
                  </c:pt>
                  <c:pt idx="913">
                    <c:v>1جدی</c:v>
                  </c:pt>
                  <c:pt idx="914">
                    <c:v>1جدی</c:v>
                  </c:pt>
                  <c:pt idx="915">
                    <c:v>1جدی</c:v>
                  </c:pt>
                  <c:pt idx="916">
                    <c:v>1جدی</c:v>
                  </c:pt>
                  <c:pt idx="917">
                    <c:v>1جدی</c:v>
                  </c:pt>
                  <c:pt idx="918">
                    <c:v>1جدی</c:v>
                  </c:pt>
                  <c:pt idx="919">
                    <c:v>1جدی</c:v>
                  </c:pt>
                  <c:pt idx="921">
                    <c:v>1جدی</c:v>
                  </c:pt>
                  <c:pt idx="922">
                    <c:v>1جدی</c:v>
                  </c:pt>
                  <c:pt idx="923">
                    <c:v>1جدی</c:v>
                  </c:pt>
                  <c:pt idx="924">
                    <c:v>1جدی</c:v>
                  </c:pt>
                  <c:pt idx="925">
                    <c:v>1جدی</c:v>
                  </c:pt>
                  <c:pt idx="927">
                    <c:v>1جدی</c:v>
                  </c:pt>
                  <c:pt idx="928">
                    <c:v>1جدی</c:v>
                  </c:pt>
                  <c:pt idx="929">
                    <c:v>1جدی</c:v>
                  </c:pt>
                  <c:pt idx="930">
                    <c:v>1جدی</c:v>
                  </c:pt>
                  <c:pt idx="931">
                    <c:v>1جدی</c:v>
                  </c:pt>
                  <c:pt idx="932">
                    <c:v>1جدی</c:v>
                  </c:pt>
                  <c:pt idx="933">
                    <c:v>1جدی</c:v>
                  </c:pt>
                  <c:pt idx="934">
                    <c:v>1جدی</c:v>
                  </c:pt>
                  <c:pt idx="936">
                    <c:v>1جدی</c:v>
                  </c:pt>
                  <c:pt idx="937">
                    <c:v>1جدی</c:v>
                  </c:pt>
                  <c:pt idx="938">
                    <c:v>1جدی</c:v>
                  </c:pt>
                  <c:pt idx="939">
                    <c:v>1جدی</c:v>
                  </c:pt>
                  <c:pt idx="940">
                    <c:v>1جدی</c:v>
                  </c:pt>
                  <c:pt idx="941">
                    <c:v>1جدی</c:v>
                  </c:pt>
                  <c:pt idx="942">
                    <c:v>1جدی</c:v>
                  </c:pt>
                  <c:pt idx="944">
                    <c:v>1جدی</c:v>
                  </c:pt>
                  <c:pt idx="945">
                    <c:v>1جدی</c:v>
                  </c:pt>
                  <c:pt idx="946">
                    <c:v>1جدی</c:v>
                  </c:pt>
                  <c:pt idx="947">
                    <c:v>1جدی</c:v>
                  </c:pt>
                  <c:pt idx="948">
                    <c:v>1جدی</c:v>
                  </c:pt>
                  <c:pt idx="949">
                    <c:v>1جدی</c:v>
                  </c:pt>
                  <c:pt idx="950">
                    <c:v>1جدی</c:v>
                  </c:pt>
                  <c:pt idx="952">
                    <c:v>1جدی</c:v>
                  </c:pt>
                  <c:pt idx="953">
                    <c:v>1جدی</c:v>
                  </c:pt>
                  <c:pt idx="954">
                    <c:v>1جدی</c:v>
                  </c:pt>
                  <c:pt idx="955">
                    <c:v>1جدی</c:v>
                  </c:pt>
                  <c:pt idx="956">
                    <c:v>1جدی</c:v>
                  </c:pt>
                  <c:pt idx="957">
                    <c:v>1جدی</c:v>
                  </c:pt>
                  <c:pt idx="958">
                    <c:v>1جدی</c:v>
                  </c:pt>
                  <c:pt idx="959">
                    <c:v>1جدی</c:v>
                  </c:pt>
                  <c:pt idx="961">
                    <c:v>1جدی</c:v>
                  </c:pt>
                  <c:pt idx="962">
                    <c:v>1جدی</c:v>
                  </c:pt>
                  <c:pt idx="963">
                    <c:v>1جدی</c:v>
                  </c:pt>
                  <c:pt idx="964">
                    <c:v>1جدی</c:v>
                  </c:pt>
                  <c:pt idx="965">
                    <c:v>1جدی</c:v>
                  </c:pt>
                  <c:pt idx="966">
                    <c:v>1جدی</c:v>
                  </c:pt>
                  <c:pt idx="967">
                    <c:v>1جدی</c:v>
                  </c:pt>
                  <c:pt idx="969">
                    <c:v>1جدی</c:v>
                  </c:pt>
                  <c:pt idx="970">
                    <c:v>1جدی</c:v>
                  </c:pt>
                  <c:pt idx="971">
                    <c:v>1جدی</c:v>
                  </c:pt>
                  <c:pt idx="972">
                    <c:v>1جدی</c:v>
                  </c:pt>
                  <c:pt idx="973">
                    <c:v>1جدی</c:v>
                  </c:pt>
                  <c:pt idx="974">
                    <c:v>1جدی</c:v>
                  </c:pt>
                  <c:pt idx="975">
                    <c:v>1جدی</c:v>
                  </c:pt>
                  <c:pt idx="977">
                    <c:v>1جدی</c:v>
                  </c:pt>
                  <c:pt idx="978">
                    <c:v>1جدی</c:v>
                  </c:pt>
                  <c:pt idx="979">
                    <c:v>1جدی</c:v>
                  </c:pt>
                  <c:pt idx="980">
                    <c:v>1جدی</c:v>
                  </c:pt>
                  <c:pt idx="981">
                    <c:v>1جدی</c:v>
                  </c:pt>
                  <c:pt idx="982">
                    <c:v>1جدی</c:v>
                  </c:pt>
                  <c:pt idx="983">
                    <c:v>1جدی</c:v>
                  </c:pt>
                  <c:pt idx="984">
                    <c:v>1جدی</c:v>
                  </c:pt>
                  <c:pt idx="985">
                    <c:v>1جدی</c:v>
                  </c:pt>
                  <c:pt idx="987">
                    <c:v>1جدی</c:v>
                  </c:pt>
                  <c:pt idx="988">
                    <c:v>1جدی</c:v>
                  </c:pt>
                  <c:pt idx="989">
                    <c:v>1جدی</c:v>
                  </c:pt>
                  <c:pt idx="990">
                    <c:v>1جدی</c:v>
                  </c:pt>
                  <c:pt idx="991">
                    <c:v>1جدی</c:v>
                  </c:pt>
                  <c:pt idx="992">
                    <c:v>1جدی</c:v>
                  </c:pt>
                  <c:pt idx="993">
                    <c:v>1جدی</c:v>
                  </c:pt>
                  <c:pt idx="995">
                    <c:v>1جدی</c:v>
                  </c:pt>
                  <c:pt idx="996">
                    <c:v>1جدی</c:v>
                  </c:pt>
                  <c:pt idx="997">
                    <c:v>1جدی</c:v>
                  </c:pt>
                  <c:pt idx="998">
                    <c:v>1جدی</c:v>
                  </c:pt>
                  <c:pt idx="999">
                    <c:v>1جدی</c:v>
                  </c:pt>
                  <c:pt idx="1000">
                    <c:v>1جدی</c:v>
                  </c:pt>
                  <c:pt idx="1002">
                    <c:v>1جدی</c:v>
                  </c:pt>
                  <c:pt idx="1003">
                    <c:v>1جدی</c:v>
                  </c:pt>
                  <c:pt idx="1004">
                    <c:v>1جدی</c:v>
                  </c:pt>
                  <c:pt idx="1005">
                    <c:v>1جدی</c:v>
                  </c:pt>
                  <c:pt idx="1006">
                    <c:v>1جدی</c:v>
                  </c:pt>
                  <c:pt idx="1007">
                    <c:v>1جدی</c:v>
                  </c:pt>
                  <c:pt idx="1008">
                    <c:v>1جدی</c:v>
                  </c:pt>
                  <c:pt idx="1009">
                    <c:v>1جدی</c:v>
                  </c:pt>
                  <c:pt idx="1010">
                    <c:v>1جدی</c:v>
                  </c:pt>
                  <c:pt idx="1011">
                    <c:v>1جدی</c:v>
                  </c:pt>
                  <c:pt idx="1012">
                    <c:v>1جدی</c:v>
                  </c:pt>
                  <c:pt idx="1013">
                    <c:v>1جدی</c:v>
                  </c:pt>
                  <c:pt idx="1014">
                    <c:v>1جدی</c:v>
                  </c:pt>
                  <c:pt idx="1015">
                    <c:v>1جدی</c:v>
                  </c:pt>
                  <c:pt idx="1016">
                    <c:v>1جدی</c:v>
                  </c:pt>
                  <c:pt idx="1018">
                    <c:v>1جدی</c:v>
                  </c:pt>
                  <c:pt idx="1019">
                    <c:v>1جدی</c:v>
                  </c:pt>
                  <c:pt idx="1020">
                    <c:v>1جدی</c:v>
                  </c:pt>
                  <c:pt idx="1021">
                    <c:v>1جدی</c:v>
                  </c:pt>
                  <c:pt idx="1022">
                    <c:v>1جدی</c:v>
                  </c:pt>
                  <c:pt idx="1023">
                    <c:v>1جدی</c:v>
                  </c:pt>
                  <c:pt idx="1024">
                    <c:v>1جدی</c:v>
                  </c:pt>
                  <c:pt idx="1026">
                    <c:v>1جدی</c:v>
                  </c:pt>
                  <c:pt idx="1027">
                    <c:v>1جدی</c:v>
                  </c:pt>
                  <c:pt idx="1028">
                    <c:v>1جدی</c:v>
                  </c:pt>
                  <c:pt idx="1029">
                    <c:v>1جدی</c:v>
                  </c:pt>
                  <c:pt idx="1030">
                    <c:v>1جدی</c:v>
                  </c:pt>
                  <c:pt idx="1031">
                    <c:v>1جدی</c:v>
                  </c:pt>
                  <c:pt idx="1032">
                    <c:v>1جدی</c:v>
                  </c:pt>
                  <c:pt idx="1033">
                    <c:v>1جدی</c:v>
                  </c:pt>
                  <c:pt idx="1035">
                    <c:v>1جدی</c:v>
                  </c:pt>
                  <c:pt idx="1036">
                    <c:v>1جدی</c:v>
                  </c:pt>
                  <c:pt idx="1037">
                    <c:v>1جدی</c:v>
                  </c:pt>
                  <c:pt idx="1038">
                    <c:v>1جدی</c:v>
                  </c:pt>
                  <c:pt idx="1039">
                    <c:v>1جدی</c:v>
                  </c:pt>
                  <c:pt idx="1040">
                    <c:v>1جدی</c:v>
                  </c:pt>
                  <c:pt idx="1041">
                    <c:v>1جدی</c:v>
                  </c:pt>
                  <c:pt idx="1043">
                    <c:v>1جدی</c:v>
                  </c:pt>
                  <c:pt idx="1044">
                    <c:v>1جدی</c:v>
                  </c:pt>
                  <c:pt idx="1045">
                    <c:v>1جدی</c:v>
                  </c:pt>
                  <c:pt idx="1046">
                    <c:v>1جدی</c:v>
                  </c:pt>
                  <c:pt idx="1047">
                    <c:v>1جدی</c:v>
                  </c:pt>
                  <c:pt idx="1048">
                    <c:v>1جدی</c:v>
                  </c:pt>
                  <c:pt idx="1049">
                    <c:v>1جدی</c:v>
                  </c:pt>
                  <c:pt idx="1050">
                    <c:v>1جدی</c:v>
                  </c:pt>
                  <c:pt idx="1052">
                    <c:v>1جدی</c:v>
                  </c:pt>
                  <c:pt idx="1053">
                    <c:v>1جدی</c:v>
                  </c:pt>
                  <c:pt idx="1054">
                    <c:v>1جدی</c:v>
                  </c:pt>
                  <c:pt idx="1055">
                    <c:v>1جدی</c:v>
                  </c:pt>
                  <c:pt idx="1056">
                    <c:v>1جدی</c:v>
                  </c:pt>
                  <c:pt idx="1057">
                    <c:v>1جدی</c:v>
                  </c:pt>
                  <c:pt idx="1058">
                    <c:v>1جدی</c:v>
                  </c:pt>
                  <c:pt idx="1060">
                    <c:v>1جدی</c:v>
                  </c:pt>
                  <c:pt idx="1061">
                    <c:v>1جدی</c:v>
                  </c:pt>
                  <c:pt idx="1062">
                    <c:v>1جدی</c:v>
                  </c:pt>
                  <c:pt idx="1063">
                    <c:v>1جدی</c:v>
                  </c:pt>
                  <c:pt idx="1064">
                    <c:v>1جدی</c:v>
                  </c:pt>
                  <c:pt idx="1065">
                    <c:v>1جدی</c:v>
                  </c:pt>
                  <c:pt idx="1066">
                    <c:v>1جدی</c:v>
                  </c:pt>
                  <c:pt idx="1068">
                    <c:v>1جدی</c:v>
                  </c:pt>
                  <c:pt idx="1069">
                    <c:v>1جدی</c:v>
                  </c:pt>
                  <c:pt idx="1070">
                    <c:v>1جدی</c:v>
                  </c:pt>
                  <c:pt idx="1071">
                    <c:v>1جدی</c:v>
                  </c:pt>
                  <c:pt idx="1072">
                    <c:v>1جدی</c:v>
                  </c:pt>
                  <c:pt idx="1073">
                    <c:v>1جدی</c:v>
                  </c:pt>
                  <c:pt idx="1074">
                    <c:v>1جدی</c:v>
                  </c:pt>
                  <c:pt idx="1076">
                    <c:v>1جدی</c:v>
                  </c:pt>
                  <c:pt idx="1077">
                    <c:v>1جدی</c:v>
                  </c:pt>
                  <c:pt idx="1078">
                    <c:v>1جدی</c:v>
                  </c:pt>
                  <c:pt idx="1079">
                    <c:v>1جدی</c:v>
                  </c:pt>
                  <c:pt idx="1080">
                    <c:v>1جدی</c:v>
                  </c:pt>
                  <c:pt idx="1081">
                    <c:v>1جدی</c:v>
                  </c:pt>
                  <c:pt idx="1082">
                    <c:v>1جدی</c:v>
                  </c:pt>
                  <c:pt idx="1084">
                    <c:v>1جدی</c:v>
                  </c:pt>
                  <c:pt idx="1085">
                    <c:v>1جدی</c:v>
                  </c:pt>
                  <c:pt idx="1086">
                    <c:v>1جدی</c:v>
                  </c:pt>
                  <c:pt idx="1087">
                    <c:v>1جدی</c:v>
                  </c:pt>
                  <c:pt idx="1088">
                    <c:v>1جدی</c:v>
                  </c:pt>
                  <c:pt idx="1089">
                    <c:v>1جدی</c:v>
                  </c:pt>
                  <c:pt idx="1090">
                    <c:v>1جدی</c:v>
                  </c:pt>
                  <c:pt idx="1092">
                    <c:v>1جدی</c:v>
                  </c:pt>
                  <c:pt idx="1093">
                    <c:v>1جدی</c:v>
                  </c:pt>
                  <c:pt idx="1094">
                    <c:v>1جدی</c:v>
                  </c:pt>
                  <c:pt idx="1095">
                    <c:v>1جدی</c:v>
                  </c:pt>
                  <c:pt idx="1096">
                    <c:v>1جدی</c:v>
                  </c:pt>
                  <c:pt idx="1097">
                    <c:v>1جدی</c:v>
                  </c:pt>
                  <c:pt idx="1099">
                    <c:v>1جدی</c:v>
                  </c:pt>
                  <c:pt idx="1100">
                    <c:v>1جدی</c:v>
                  </c:pt>
                  <c:pt idx="1101">
                    <c:v>1جدی</c:v>
                  </c:pt>
                  <c:pt idx="1102">
                    <c:v>1جدی</c:v>
                  </c:pt>
                  <c:pt idx="1103">
                    <c:v>1جدی</c:v>
                  </c:pt>
                  <c:pt idx="1104">
                    <c:v>1جدی</c:v>
                  </c:pt>
                  <c:pt idx="1105">
                    <c:v>1جدی</c:v>
                  </c:pt>
                  <c:pt idx="1107">
                    <c:v>1جدی</c:v>
                  </c:pt>
                  <c:pt idx="1108">
                    <c:v>1جدی</c:v>
                  </c:pt>
                  <c:pt idx="1109">
                    <c:v>1جدی</c:v>
                  </c:pt>
                  <c:pt idx="1110">
                    <c:v>1جدی</c:v>
                  </c:pt>
                  <c:pt idx="1111">
                    <c:v>1جدی</c:v>
                  </c:pt>
                  <c:pt idx="1112">
                    <c:v>1جدی</c:v>
                  </c:pt>
                  <c:pt idx="1113">
                    <c:v>1جدی</c:v>
                  </c:pt>
                  <c:pt idx="1115">
                    <c:v> -   </c:v>
                  </c:pt>
                  <c:pt idx="1117">
                    <c:v>تاریخ آغاز</c:v>
                  </c:pt>
                  <c:pt idx="1118">
                    <c:v>12/1395</c:v>
                  </c:pt>
                  <c:pt idx="1119">
                    <c:v>12/1395</c:v>
                  </c:pt>
                  <c:pt idx="1120">
                    <c:v>10/1395</c:v>
                  </c:pt>
                  <c:pt idx="1123">
                    <c:v>تاریخ آغاز</c:v>
                  </c:pt>
                  <c:pt idx="1124">
                    <c:v>01/1397</c:v>
                  </c:pt>
                  <c:pt idx="1125">
                    <c:v>01/1397</c:v>
                  </c:pt>
                  <c:pt idx="1127">
                    <c:v>تاریخ آغاز</c:v>
                  </c:pt>
                  <c:pt idx="1128">
                    <c:v>12/1395</c:v>
                  </c:pt>
                  <c:pt idx="1130">
                    <c:v> -   </c:v>
                  </c:pt>
                  <c:pt idx="1132">
                    <c:v>12/1395</c:v>
                  </c:pt>
                  <c:pt idx="1133">
                    <c:v>12/1395</c:v>
                  </c:pt>
                  <c:pt idx="1136">
                    <c:v>تاریخ ختم</c:v>
                  </c:pt>
                  <c:pt idx="1137">
                    <c:v>30/9/1397</c:v>
                  </c:pt>
                  <c:pt idx="1138">
                    <c:v>30/9/1397</c:v>
                  </c:pt>
                  <c:pt idx="1139">
                    <c:v>30/9/1397</c:v>
                  </c:pt>
                  <c:pt idx="1140">
                    <c:v>30/9/1397</c:v>
                  </c:pt>
                  <c:pt idx="1141">
                    <c:v>30/9/1397</c:v>
                  </c:pt>
                  <c:pt idx="1142">
                    <c:v>30/9/1397</c:v>
                  </c:pt>
                </c:lvl>
                <c:lvl>
                  <c:pt idx="2">
                    <c:v>واحد</c:v>
                  </c:pt>
                  <c:pt idx="4">
                    <c:v>پروژه عایداتی</c:v>
                  </c:pt>
                  <c:pt idx="5">
                    <c:v>کیلو گرام </c:v>
                  </c:pt>
                  <c:pt idx="6">
                    <c:v>کرایه </c:v>
                  </c:pt>
                  <c:pt idx="8">
                    <c:v>واحد</c:v>
                  </c:pt>
                  <c:pt idx="9">
                    <c:v>پروژه عایداتی</c:v>
                  </c:pt>
                  <c:pt idx="10">
                    <c:v>کیلو گرام</c:v>
                  </c:pt>
                  <c:pt idx="11">
                    <c:v>کرایه </c:v>
                  </c:pt>
                  <c:pt idx="13">
                    <c:v>واحد</c:v>
                  </c:pt>
                  <c:pt idx="14">
                    <c:v>پروژه عایداتی</c:v>
                  </c:pt>
                  <c:pt idx="15">
                    <c:v>کیلوگرام</c:v>
                  </c:pt>
                  <c:pt idx="16">
                    <c:v>متر مکعب </c:v>
                  </c:pt>
                  <c:pt idx="19">
                    <c:v>واحد</c:v>
                  </c:pt>
                  <c:pt idx="20">
                    <c:v>پروژه عایداتی</c:v>
                  </c:pt>
                  <c:pt idx="21">
                    <c:v>کیلو گرام </c:v>
                  </c:pt>
                  <c:pt idx="22">
                    <c:v>اصله</c:v>
                  </c:pt>
                  <c:pt idx="24">
                    <c:v>واحد</c:v>
                  </c:pt>
                  <c:pt idx="25">
                    <c:v>پروژه عایداتی</c:v>
                  </c:pt>
                  <c:pt idx="26">
                    <c:v>کیلو گرام </c:v>
                  </c:pt>
                  <c:pt idx="27">
                    <c:v>0</c:v>
                  </c:pt>
                  <c:pt idx="29">
                    <c:v>واحد</c:v>
                  </c:pt>
                  <c:pt idx="30">
                    <c:v>نفر </c:v>
                  </c:pt>
                  <c:pt idx="33">
                    <c:v>واحد</c:v>
                  </c:pt>
                  <c:pt idx="34">
                    <c:v>نفر</c:v>
                  </c:pt>
                  <c:pt idx="37">
                    <c:v>واحد</c:v>
                  </c:pt>
                  <c:pt idx="38">
                    <c:v>نفر</c:v>
                  </c:pt>
                  <c:pt idx="41">
                    <c:v>واحد</c:v>
                  </c:pt>
                  <c:pt idx="42">
                    <c:v>پروژه عایداتی</c:v>
                  </c:pt>
                  <c:pt idx="43">
                    <c:v>کیلو گرام </c:v>
                  </c:pt>
                  <c:pt idx="44">
                    <c:v>متر مکعب </c:v>
                  </c:pt>
                  <c:pt idx="47">
                    <c:v>واحد</c:v>
                  </c:pt>
                  <c:pt idx="48">
                    <c:v>پروژه عایداتی</c:v>
                  </c:pt>
                  <c:pt idx="49">
                    <c:v>کیلو گرام </c:v>
                  </c:pt>
                  <c:pt idx="50">
                    <c:v>کیلو گرام </c:v>
                  </c:pt>
                  <c:pt idx="51">
                    <c:v>متر مکعب </c:v>
                  </c:pt>
                  <c:pt idx="52">
                    <c:v>انجممن </c:v>
                  </c:pt>
                  <c:pt idx="54">
                    <c:v>واحد</c:v>
                  </c:pt>
                  <c:pt idx="55">
                    <c:v>پروژه عایداتی</c:v>
                  </c:pt>
                  <c:pt idx="56">
                    <c:v>کیلو گرام </c:v>
                  </c:pt>
                  <c:pt idx="59">
                    <c:v>واحد</c:v>
                  </c:pt>
                  <c:pt idx="60">
                    <c:v>پروژه عایداتی</c:v>
                  </c:pt>
                  <c:pt idx="61">
                    <c:v>کیلو گرام </c:v>
                  </c:pt>
                  <c:pt idx="64">
                    <c:v>واحد</c:v>
                  </c:pt>
                  <c:pt idx="65">
                    <c:v>نفر </c:v>
                  </c:pt>
                  <c:pt idx="70">
                    <c:v>واحد مقیاس</c:v>
                  </c:pt>
                  <c:pt idx="72">
                    <c:v>انجمن</c:v>
                  </c:pt>
                  <c:pt idx="73">
                    <c:v>نفر</c:v>
                  </c:pt>
                  <c:pt idx="74">
                    <c:v>هکتار</c:v>
                  </c:pt>
                  <c:pt idx="75">
                    <c:v>هکتار</c:v>
                  </c:pt>
                  <c:pt idx="76">
                    <c:v>کیلوگرام </c:v>
                  </c:pt>
                  <c:pt idx="77">
                    <c:v>مترمربع </c:v>
                  </c:pt>
                  <c:pt idx="78">
                    <c:v>هکتار</c:v>
                  </c:pt>
                  <c:pt idx="79">
                    <c:v>حلقه </c:v>
                  </c:pt>
                  <c:pt idx="80">
                    <c:v>چاله </c:v>
                  </c:pt>
                  <c:pt idx="81">
                    <c:v>کیلوگرام</c:v>
                  </c:pt>
                  <c:pt idx="82">
                    <c:v>عدد</c:v>
                  </c:pt>
                  <c:pt idx="83">
                    <c:v>لیتر</c:v>
                  </c:pt>
                  <c:pt idx="86">
                    <c:v>واحد</c:v>
                  </c:pt>
                  <c:pt idx="87">
                    <c:v>هکتار</c:v>
                  </c:pt>
                  <c:pt idx="88">
                    <c:v>نفر</c:v>
                  </c:pt>
                  <c:pt idx="89">
                    <c:v>نفر</c:v>
                  </c:pt>
                  <c:pt idx="90">
                    <c:v>هکتار</c:v>
                  </c:pt>
                  <c:pt idx="91">
                    <c:v>قلمه </c:v>
                  </c:pt>
                  <c:pt idx="92">
                    <c:v>قلمه </c:v>
                  </c:pt>
                  <c:pt idx="93">
                    <c:v>اصله</c:v>
                  </c:pt>
                  <c:pt idx="94">
                    <c:v>عراده </c:v>
                  </c:pt>
                  <c:pt idx="95">
                    <c:v>حلقه </c:v>
                  </c:pt>
                  <c:pt idx="96">
                    <c:v>اصله</c:v>
                  </c:pt>
                  <c:pt idx="97">
                    <c:v>لیتر</c:v>
                  </c:pt>
                  <c:pt idx="98">
                    <c:v>اصله</c:v>
                  </c:pt>
                  <c:pt idx="99">
                    <c:v>مترمربع </c:v>
                  </c:pt>
                  <c:pt idx="100">
                    <c:v>کیلوگرام </c:v>
                  </c:pt>
                  <c:pt idx="101">
                    <c:v>مترمربع </c:v>
                  </c:pt>
                  <c:pt idx="102">
                    <c:v>کیلوگرام</c:v>
                  </c:pt>
                  <c:pt idx="103">
                    <c:v>مترمربع </c:v>
                  </c:pt>
                  <c:pt idx="104">
                    <c:v>نفر</c:v>
                  </c:pt>
                  <c:pt idx="105">
                    <c:v>هکتار</c:v>
                  </c:pt>
                  <c:pt idx="106">
                    <c:v>حلقه </c:v>
                  </c:pt>
                  <c:pt idx="107">
                    <c:v>چاله </c:v>
                  </c:pt>
                  <c:pt idx="108">
                    <c:v>کیلوگرام</c:v>
                  </c:pt>
                  <c:pt idx="109">
                    <c:v>عدد</c:v>
                  </c:pt>
                  <c:pt idx="110">
                    <c:v>لیتر</c:v>
                  </c:pt>
                  <c:pt idx="111">
                    <c:v>لیتر</c:v>
                  </c:pt>
                  <c:pt idx="114">
                    <c:v>واحد</c:v>
                  </c:pt>
                  <c:pt idx="115">
                    <c:v>انجمن</c:v>
                  </c:pt>
                  <c:pt idx="116">
                    <c:v>نفر</c:v>
                  </c:pt>
                  <c:pt idx="117">
                    <c:v>هکتار</c:v>
                  </c:pt>
                  <c:pt idx="118">
                    <c:v>هکتار</c:v>
                  </c:pt>
                  <c:pt idx="119">
                    <c:v>کیلوگرام </c:v>
                  </c:pt>
                  <c:pt idx="120">
                    <c:v>مترمربع </c:v>
                  </c:pt>
                  <c:pt idx="121">
                    <c:v>هکتار</c:v>
                  </c:pt>
                  <c:pt idx="122">
                    <c:v>حلقه </c:v>
                  </c:pt>
                  <c:pt idx="123">
                    <c:v>چاله </c:v>
                  </c:pt>
                  <c:pt idx="124">
                    <c:v>کیلوگرام</c:v>
                  </c:pt>
                  <c:pt idx="125">
                    <c:v>عدد</c:v>
                  </c:pt>
                  <c:pt idx="126">
                    <c:v>لیتر</c:v>
                  </c:pt>
                  <c:pt idx="129">
                    <c:v>واحد</c:v>
                  </c:pt>
                  <c:pt idx="130">
                    <c:v>نفر</c:v>
                  </c:pt>
                  <c:pt idx="131">
                    <c:v>هکتار</c:v>
                  </c:pt>
                  <c:pt idx="132">
                    <c:v>قلمه </c:v>
                  </c:pt>
                  <c:pt idx="133">
                    <c:v>قلمه </c:v>
                  </c:pt>
                  <c:pt idx="134">
                    <c:v>اصله</c:v>
                  </c:pt>
                  <c:pt idx="135">
                    <c:v>عراده </c:v>
                  </c:pt>
                  <c:pt idx="136">
                    <c:v>حلقه </c:v>
                  </c:pt>
                  <c:pt idx="137">
                    <c:v>اصله</c:v>
                  </c:pt>
                  <c:pt idx="138">
                    <c:v>لیتر</c:v>
                  </c:pt>
                  <c:pt idx="139">
                    <c:v>اصله</c:v>
                  </c:pt>
                  <c:pt idx="140">
                    <c:v>مترمربع </c:v>
                  </c:pt>
                  <c:pt idx="141">
                    <c:v>کیلوگرام </c:v>
                  </c:pt>
                  <c:pt idx="142">
                    <c:v>مترمربع </c:v>
                  </c:pt>
                  <c:pt idx="143">
                    <c:v>کیلوگرام</c:v>
                  </c:pt>
                  <c:pt idx="144">
                    <c:v>مترمربع </c:v>
                  </c:pt>
                  <c:pt idx="145">
                    <c:v>نفر</c:v>
                  </c:pt>
                  <c:pt idx="146">
                    <c:v>هکتار</c:v>
                  </c:pt>
                  <c:pt idx="147">
                    <c:v>حلقه </c:v>
                  </c:pt>
                  <c:pt idx="148">
                    <c:v>قلمه </c:v>
                  </c:pt>
                  <c:pt idx="149">
                    <c:v>چاله </c:v>
                  </c:pt>
                  <c:pt idx="150">
                    <c:v>دسته </c:v>
                  </c:pt>
                  <c:pt idx="151">
                    <c:v>عدد</c:v>
                  </c:pt>
                  <c:pt idx="152">
                    <c:v>لیتر</c:v>
                  </c:pt>
                  <c:pt idx="153">
                    <c:v>عراده</c:v>
                  </c:pt>
                  <c:pt idx="154">
                    <c:v>لیتر</c:v>
                  </c:pt>
                  <c:pt idx="157">
                    <c:v>واحد</c:v>
                  </c:pt>
                  <c:pt idx="158">
                    <c:v>انجمن</c:v>
                  </c:pt>
                  <c:pt idx="159">
                    <c:v>نفر</c:v>
                  </c:pt>
                  <c:pt idx="160">
                    <c:v>هکتار</c:v>
                  </c:pt>
                  <c:pt idx="161">
                    <c:v>هکتار</c:v>
                  </c:pt>
                  <c:pt idx="162">
                    <c:v>کیلوگرام </c:v>
                  </c:pt>
                  <c:pt idx="163">
                    <c:v>مترمربع </c:v>
                  </c:pt>
                  <c:pt idx="164">
                    <c:v>هکتار</c:v>
                  </c:pt>
                  <c:pt idx="165">
                    <c:v>حلقه </c:v>
                  </c:pt>
                  <c:pt idx="166">
                    <c:v>حلقه </c:v>
                  </c:pt>
                  <c:pt idx="167">
                    <c:v>کیلوگرام</c:v>
                  </c:pt>
                  <c:pt idx="168">
                    <c:v>عدد</c:v>
                  </c:pt>
                  <c:pt idx="169">
                    <c:v>لیتر</c:v>
                  </c:pt>
                  <c:pt idx="172">
                    <c:v>واحد</c:v>
                  </c:pt>
                  <c:pt idx="173">
                    <c:v>هکتار</c:v>
                  </c:pt>
                  <c:pt idx="174">
                    <c:v>نفر</c:v>
                  </c:pt>
                  <c:pt idx="175">
                    <c:v>نفر</c:v>
                  </c:pt>
                  <c:pt idx="176">
                    <c:v>مترمربع </c:v>
                  </c:pt>
                  <c:pt idx="177">
                    <c:v>نفر</c:v>
                  </c:pt>
                  <c:pt idx="180">
                    <c:v>واحد</c:v>
                  </c:pt>
                  <c:pt idx="181">
                    <c:v>هکتار</c:v>
                  </c:pt>
                  <c:pt idx="182">
                    <c:v>نفر</c:v>
                  </c:pt>
                  <c:pt idx="183">
                    <c:v>نفر</c:v>
                  </c:pt>
                  <c:pt idx="184">
                    <c:v>مترمربع </c:v>
                  </c:pt>
                  <c:pt idx="187">
                    <c:v>واحد</c:v>
                  </c:pt>
                  <c:pt idx="188">
                    <c:v>نفر</c:v>
                  </c:pt>
                  <c:pt idx="189">
                    <c:v>نفر</c:v>
                  </c:pt>
                  <c:pt idx="190">
                    <c:v>انجمن</c:v>
                  </c:pt>
                  <c:pt idx="191">
                    <c:v>نفر</c:v>
                  </c:pt>
                  <c:pt idx="192">
                    <c:v>هکتار</c:v>
                  </c:pt>
                  <c:pt idx="193">
                    <c:v>قلمه </c:v>
                  </c:pt>
                  <c:pt idx="194">
                    <c:v>قلمه </c:v>
                  </c:pt>
                  <c:pt idx="195">
                    <c:v>اصله</c:v>
                  </c:pt>
                  <c:pt idx="196">
                    <c:v>عراده </c:v>
                  </c:pt>
                  <c:pt idx="197">
                    <c:v>حلقه </c:v>
                  </c:pt>
                  <c:pt idx="198">
                    <c:v>اصله</c:v>
                  </c:pt>
                  <c:pt idx="199">
                    <c:v>لیتر</c:v>
                  </c:pt>
                  <c:pt idx="200">
                    <c:v>اصله</c:v>
                  </c:pt>
                  <c:pt idx="201">
                    <c:v>مترمربع </c:v>
                  </c:pt>
                  <c:pt idx="202">
                    <c:v>کیلوگرام </c:v>
                  </c:pt>
                  <c:pt idx="203">
                    <c:v>مترمربع </c:v>
                  </c:pt>
                  <c:pt idx="204">
                    <c:v>کیلوگرام</c:v>
                  </c:pt>
                  <c:pt idx="205">
                    <c:v>مترمربع </c:v>
                  </c:pt>
                  <c:pt idx="206">
                    <c:v>نفر</c:v>
                  </c:pt>
                  <c:pt idx="207">
                    <c:v>هکتار</c:v>
                  </c:pt>
                  <c:pt idx="208">
                    <c:v>قلمه </c:v>
                  </c:pt>
                  <c:pt idx="209">
                    <c:v>لیتر</c:v>
                  </c:pt>
                  <c:pt idx="210">
                    <c:v>لیتر</c:v>
                  </c:pt>
                  <c:pt idx="211">
                    <c:v>عدد</c:v>
                  </c:pt>
                  <c:pt idx="212">
                    <c:v>عدد</c:v>
                  </c:pt>
                  <c:pt idx="213">
                    <c:v>لیتر</c:v>
                  </c:pt>
                  <c:pt idx="216">
                    <c:v>واحد</c:v>
                  </c:pt>
                  <c:pt idx="217">
                    <c:v>نفر</c:v>
                  </c:pt>
                  <c:pt idx="218">
                    <c:v>هکتار</c:v>
                  </c:pt>
                  <c:pt idx="219">
                    <c:v>هکتار</c:v>
                  </c:pt>
                  <c:pt idx="220">
                    <c:v>قلمه </c:v>
                  </c:pt>
                  <c:pt idx="221">
                    <c:v>قلمه </c:v>
                  </c:pt>
                  <c:pt idx="222">
                    <c:v>اصله</c:v>
                  </c:pt>
                  <c:pt idx="223">
                    <c:v>عراده </c:v>
                  </c:pt>
                  <c:pt idx="224">
                    <c:v>حلقه </c:v>
                  </c:pt>
                  <c:pt idx="225">
                    <c:v>اصله</c:v>
                  </c:pt>
                  <c:pt idx="226">
                    <c:v>لیتر</c:v>
                  </c:pt>
                  <c:pt idx="227">
                    <c:v>اصله</c:v>
                  </c:pt>
                  <c:pt idx="228">
                    <c:v>مترمربع </c:v>
                  </c:pt>
                  <c:pt idx="229">
                    <c:v>کیلوگرام </c:v>
                  </c:pt>
                  <c:pt idx="230">
                    <c:v>مترمربع </c:v>
                  </c:pt>
                  <c:pt idx="231">
                    <c:v>کیلوگرام</c:v>
                  </c:pt>
                  <c:pt idx="232">
                    <c:v>مترمربع </c:v>
                  </c:pt>
                  <c:pt idx="233">
                    <c:v>نفر</c:v>
                  </c:pt>
                  <c:pt idx="234">
                    <c:v>لیتر</c:v>
                  </c:pt>
                  <c:pt idx="237">
                    <c:v>واحد</c:v>
                  </c:pt>
                  <c:pt idx="238">
                    <c:v>انجمن</c:v>
                  </c:pt>
                  <c:pt idx="239">
                    <c:v>نفر</c:v>
                  </c:pt>
                  <c:pt idx="240">
                    <c:v>هکتار</c:v>
                  </c:pt>
                  <c:pt idx="241">
                    <c:v>کیلوگرام </c:v>
                  </c:pt>
                  <c:pt idx="242">
                    <c:v>مترمربع </c:v>
                  </c:pt>
                  <c:pt idx="245">
                    <c:v>واحد</c:v>
                  </c:pt>
                  <c:pt idx="246">
                    <c:v>انجمن</c:v>
                  </c:pt>
                  <c:pt idx="247">
                    <c:v>نفر</c:v>
                  </c:pt>
                  <c:pt idx="248">
                    <c:v>هکتار</c:v>
                  </c:pt>
                  <c:pt idx="249">
                    <c:v>کیلوگرام </c:v>
                  </c:pt>
                  <c:pt idx="250">
                    <c:v>مترمربع </c:v>
                  </c:pt>
                  <c:pt idx="253">
                    <c:v>واحد</c:v>
                  </c:pt>
                  <c:pt idx="254">
                    <c:v>انجمن</c:v>
                  </c:pt>
                  <c:pt idx="255">
                    <c:v>نفر</c:v>
                  </c:pt>
                  <c:pt idx="256">
                    <c:v>هکتار</c:v>
                  </c:pt>
                  <c:pt idx="257">
                    <c:v>کیلوگرام </c:v>
                  </c:pt>
                  <c:pt idx="258">
                    <c:v>مترمربع </c:v>
                  </c:pt>
                  <c:pt idx="261">
                    <c:v>واحد</c:v>
                  </c:pt>
                  <c:pt idx="262">
                    <c:v>انجمن</c:v>
                  </c:pt>
                  <c:pt idx="263">
                    <c:v>نفر</c:v>
                  </c:pt>
                  <c:pt idx="264">
                    <c:v>هکتار</c:v>
                  </c:pt>
                  <c:pt idx="265">
                    <c:v>کیلوگرام </c:v>
                  </c:pt>
                  <c:pt idx="266">
                    <c:v>مترمربع </c:v>
                  </c:pt>
                  <c:pt idx="269">
                    <c:v>واحد</c:v>
                  </c:pt>
                  <c:pt idx="270">
                    <c:v>انجمن</c:v>
                  </c:pt>
                  <c:pt idx="271">
                    <c:v>نفر</c:v>
                  </c:pt>
                  <c:pt idx="272">
                    <c:v>هکتار</c:v>
                  </c:pt>
                  <c:pt idx="273">
                    <c:v>کیلوگرام </c:v>
                  </c:pt>
                  <c:pt idx="274">
                    <c:v>مترمربع </c:v>
                  </c:pt>
                  <c:pt idx="275">
                    <c:v>هکتار</c:v>
                  </c:pt>
                  <c:pt idx="276">
                    <c:v>حلقه </c:v>
                  </c:pt>
                  <c:pt idx="277">
                    <c:v>حلقه </c:v>
                  </c:pt>
                  <c:pt idx="278">
                    <c:v>کیلوگرام</c:v>
                  </c:pt>
                  <c:pt idx="279">
                    <c:v>عدد</c:v>
                  </c:pt>
                  <c:pt idx="280">
                    <c:v>لیتر</c:v>
                  </c:pt>
                  <c:pt idx="283">
                    <c:v>واحد</c:v>
                  </c:pt>
                  <c:pt idx="284">
                    <c:v>انجمن</c:v>
                  </c:pt>
                  <c:pt idx="285">
                    <c:v>نفر</c:v>
                  </c:pt>
                  <c:pt idx="286">
                    <c:v>هکتار</c:v>
                  </c:pt>
                  <c:pt idx="287">
                    <c:v>کیلوگرام </c:v>
                  </c:pt>
                  <c:pt idx="288">
                    <c:v>مترمربع </c:v>
                  </c:pt>
                  <c:pt idx="289">
                    <c:v>هکتار</c:v>
                  </c:pt>
                  <c:pt idx="290">
                    <c:v>حلقه </c:v>
                  </c:pt>
                  <c:pt idx="291">
                    <c:v>حلقه </c:v>
                  </c:pt>
                  <c:pt idx="292">
                    <c:v>کیلوگرام</c:v>
                  </c:pt>
                  <c:pt idx="293">
                    <c:v>عدد</c:v>
                  </c:pt>
                  <c:pt idx="294">
                    <c:v>لیتر</c:v>
                  </c:pt>
                  <c:pt idx="297">
                    <c:v>نفر</c:v>
                  </c:pt>
                  <c:pt idx="298">
                    <c:v>نفر</c:v>
                  </c:pt>
                  <c:pt idx="302">
                    <c:v>واحد</c:v>
                  </c:pt>
                  <c:pt idx="303">
                    <c:v>مترمربع </c:v>
                  </c:pt>
                  <c:pt idx="304">
                    <c:v>مترمربع </c:v>
                  </c:pt>
                  <c:pt idx="305">
                    <c:v>متر</c:v>
                  </c:pt>
                  <c:pt idx="306">
                    <c:v>مترمکعب</c:v>
                  </c:pt>
                  <c:pt idx="307">
                    <c:v>اصله </c:v>
                  </c:pt>
                  <c:pt idx="308">
                    <c:v>مترمربع </c:v>
                  </c:pt>
                  <c:pt idx="309">
                    <c:v>مرتبه </c:v>
                  </c:pt>
                  <c:pt idx="311">
                    <c:v>مترمربع </c:v>
                  </c:pt>
                  <c:pt idx="312">
                    <c:v>مترمربع </c:v>
                  </c:pt>
                  <c:pt idx="313">
                    <c:v>متر</c:v>
                  </c:pt>
                  <c:pt idx="314">
                    <c:v>مترمکعب</c:v>
                  </c:pt>
                  <c:pt idx="315">
                    <c:v>اصله </c:v>
                  </c:pt>
                  <c:pt idx="316">
                    <c:v>مترمربع </c:v>
                  </c:pt>
                  <c:pt idx="317">
                    <c:v>مرتبه </c:v>
                  </c:pt>
                  <c:pt idx="319">
                    <c:v>متر مربع </c:v>
                  </c:pt>
                  <c:pt idx="320">
                    <c:v>متر مربع </c:v>
                  </c:pt>
                  <c:pt idx="321">
                    <c:v>متر مربع </c:v>
                  </c:pt>
                  <c:pt idx="322">
                    <c:v>متر</c:v>
                  </c:pt>
                  <c:pt idx="323">
                    <c:v>متر مکعب</c:v>
                  </c:pt>
                  <c:pt idx="324">
                    <c:v>اصله </c:v>
                  </c:pt>
                  <c:pt idx="325">
                    <c:v>مرتبه </c:v>
                  </c:pt>
                  <c:pt idx="327">
                    <c:v>مترمربع </c:v>
                  </c:pt>
                  <c:pt idx="328">
                    <c:v>متر </c:v>
                  </c:pt>
                  <c:pt idx="329">
                    <c:v>متر</c:v>
                  </c:pt>
                  <c:pt idx="330">
                    <c:v>مترمربع </c:v>
                  </c:pt>
                  <c:pt idx="331">
                    <c:v>مرتبه </c:v>
                  </c:pt>
                  <c:pt idx="332">
                    <c:v>مرتبه </c:v>
                  </c:pt>
                  <c:pt idx="334">
                    <c:v>مترمربع </c:v>
                  </c:pt>
                  <c:pt idx="335">
                    <c:v>مترمربع </c:v>
                  </c:pt>
                  <c:pt idx="336">
                    <c:v>مترمربع </c:v>
                  </c:pt>
                  <c:pt idx="337">
                    <c:v>متر</c:v>
                  </c:pt>
                  <c:pt idx="338">
                    <c:v>مترمکعب</c:v>
                  </c:pt>
                  <c:pt idx="339">
                    <c:v>مرتبه </c:v>
                  </c:pt>
                  <c:pt idx="340">
                    <c:v>شبکه </c:v>
                  </c:pt>
                  <c:pt idx="342">
                    <c:v>مترمربع </c:v>
                  </c:pt>
                  <c:pt idx="343">
                    <c:v>مترمربع </c:v>
                  </c:pt>
                  <c:pt idx="344">
                    <c:v>متر</c:v>
                  </c:pt>
                  <c:pt idx="345">
                    <c:v>مترمکعب</c:v>
                  </c:pt>
                  <c:pt idx="346">
                    <c:v>مرتبه </c:v>
                  </c:pt>
                  <c:pt idx="348">
                    <c:v>مترمربع </c:v>
                  </c:pt>
                  <c:pt idx="349">
                    <c:v>مترمربع </c:v>
                  </c:pt>
                  <c:pt idx="350">
                    <c:v>خریطه</c:v>
                  </c:pt>
                  <c:pt idx="351">
                    <c:v>مترمربع </c:v>
                  </c:pt>
                  <c:pt idx="352">
                    <c:v>متر</c:v>
                  </c:pt>
                  <c:pt idx="353">
                    <c:v>مترمکعب</c:v>
                  </c:pt>
                  <c:pt idx="354">
                    <c:v>اصله </c:v>
                  </c:pt>
                  <c:pt idx="355">
                    <c:v>مرتبه </c:v>
                  </c:pt>
                  <c:pt idx="357">
                    <c:v>مترمربع </c:v>
                  </c:pt>
                  <c:pt idx="358">
                    <c:v>مترمربع </c:v>
                  </c:pt>
                  <c:pt idx="359">
                    <c:v>متر</c:v>
                  </c:pt>
                  <c:pt idx="360">
                    <c:v>مترمکعب</c:v>
                  </c:pt>
                  <c:pt idx="361">
                    <c:v>مترمربع </c:v>
                  </c:pt>
                  <c:pt idx="362">
                    <c:v>سیتم </c:v>
                  </c:pt>
                  <c:pt idx="363">
                    <c:v>مرتبه </c:v>
                  </c:pt>
                  <c:pt idx="365">
                    <c:v>مترمربع </c:v>
                  </c:pt>
                  <c:pt idx="366">
                    <c:v>مترمربع </c:v>
                  </c:pt>
                  <c:pt idx="367">
                    <c:v>مترمربع </c:v>
                  </c:pt>
                  <c:pt idx="368">
                    <c:v>متر</c:v>
                  </c:pt>
                  <c:pt idx="369">
                    <c:v>مترمکعب</c:v>
                  </c:pt>
                  <c:pt idx="370">
                    <c:v>اصله </c:v>
                  </c:pt>
                  <c:pt idx="371">
                    <c:v>مرتبه </c:v>
                  </c:pt>
                  <c:pt idx="373">
                    <c:v>مترمربع </c:v>
                  </c:pt>
                  <c:pt idx="374">
                    <c:v>مترمربع </c:v>
                  </c:pt>
                  <c:pt idx="375">
                    <c:v>خریطه</c:v>
                  </c:pt>
                  <c:pt idx="376">
                    <c:v>مترمربع </c:v>
                  </c:pt>
                  <c:pt idx="377">
                    <c:v>متر</c:v>
                  </c:pt>
                  <c:pt idx="378">
                    <c:v>مترمکعب</c:v>
                  </c:pt>
                  <c:pt idx="379">
                    <c:v>اصله </c:v>
                  </c:pt>
                  <c:pt idx="380">
                    <c:v>مرتبه </c:v>
                  </c:pt>
                  <c:pt idx="382">
                    <c:v>مترمربع </c:v>
                  </c:pt>
                  <c:pt idx="383">
                    <c:v>مترمربع </c:v>
                  </c:pt>
                  <c:pt idx="384">
                    <c:v>مترمربع </c:v>
                  </c:pt>
                  <c:pt idx="385">
                    <c:v>متر</c:v>
                  </c:pt>
                  <c:pt idx="386">
                    <c:v>مترمکعب</c:v>
                  </c:pt>
                  <c:pt idx="387">
                    <c:v>اصله </c:v>
                  </c:pt>
                  <c:pt idx="388">
                    <c:v>مرتبه </c:v>
                  </c:pt>
                  <c:pt idx="390">
                    <c:v>مترمربع </c:v>
                  </c:pt>
                  <c:pt idx="391">
                    <c:v>مترمربع </c:v>
                  </c:pt>
                  <c:pt idx="392">
                    <c:v>مترمربع </c:v>
                  </c:pt>
                  <c:pt idx="393">
                    <c:v>متر</c:v>
                  </c:pt>
                  <c:pt idx="394">
                    <c:v>مترمکعب</c:v>
                  </c:pt>
                  <c:pt idx="395">
                    <c:v>حلقه </c:v>
                  </c:pt>
                  <c:pt idx="396">
                    <c:v>مرتبه </c:v>
                  </c:pt>
                  <c:pt idx="398">
                    <c:v>مترمربع </c:v>
                  </c:pt>
                  <c:pt idx="399">
                    <c:v>مترمربع </c:v>
                  </c:pt>
                  <c:pt idx="400">
                    <c:v>مترمربع </c:v>
                  </c:pt>
                  <c:pt idx="401">
                    <c:v>خریطه</c:v>
                  </c:pt>
                  <c:pt idx="402">
                    <c:v>متر</c:v>
                  </c:pt>
                  <c:pt idx="403">
                    <c:v>مترمکعب</c:v>
                  </c:pt>
                  <c:pt idx="404">
                    <c:v>اصله </c:v>
                  </c:pt>
                  <c:pt idx="405">
                    <c:v>حلقه </c:v>
                  </c:pt>
                  <c:pt idx="406">
                    <c:v>مرتبه </c:v>
                  </c:pt>
                  <c:pt idx="408">
                    <c:v>مترمربع </c:v>
                  </c:pt>
                  <c:pt idx="409">
                    <c:v>مترمربع </c:v>
                  </c:pt>
                  <c:pt idx="410">
                    <c:v>متر</c:v>
                  </c:pt>
                  <c:pt idx="411">
                    <c:v>مترمکعب</c:v>
                  </c:pt>
                  <c:pt idx="412">
                    <c:v>مترمربع </c:v>
                  </c:pt>
                  <c:pt idx="413">
                    <c:v>باب </c:v>
                  </c:pt>
                  <c:pt idx="414">
                    <c:v>مرتبه </c:v>
                  </c:pt>
                  <c:pt idx="416">
                    <c:v>مترمربع </c:v>
                  </c:pt>
                  <c:pt idx="417">
                    <c:v>متر</c:v>
                  </c:pt>
                  <c:pt idx="418">
                    <c:v>مترمکعب</c:v>
                  </c:pt>
                  <c:pt idx="419">
                    <c:v>مترمربع </c:v>
                  </c:pt>
                  <c:pt idx="420">
                    <c:v>حلقه </c:v>
                  </c:pt>
                  <c:pt idx="421">
                    <c:v>مرتبه </c:v>
                  </c:pt>
                  <c:pt idx="423">
                    <c:v>مترمربع </c:v>
                  </c:pt>
                  <c:pt idx="424">
                    <c:v>مترمربع </c:v>
                  </c:pt>
                  <c:pt idx="425">
                    <c:v>خریطه</c:v>
                  </c:pt>
                  <c:pt idx="426">
                    <c:v>مترمربع </c:v>
                  </c:pt>
                  <c:pt idx="427">
                    <c:v>متر</c:v>
                  </c:pt>
                  <c:pt idx="428">
                    <c:v>مترمکعب</c:v>
                  </c:pt>
                  <c:pt idx="429">
                    <c:v>اصله </c:v>
                  </c:pt>
                  <c:pt idx="430">
                    <c:v>حلقه </c:v>
                  </c:pt>
                  <c:pt idx="431">
                    <c:v>اصله </c:v>
                  </c:pt>
                  <c:pt idx="432">
                    <c:v>اصله </c:v>
                  </c:pt>
                  <c:pt idx="433">
                    <c:v>مرتبه </c:v>
                  </c:pt>
                  <c:pt idx="434">
                    <c:v>نفر</c:v>
                  </c:pt>
                  <c:pt idx="435">
                    <c:v>مرتبه </c:v>
                  </c:pt>
                  <c:pt idx="436">
                    <c:v>اصله </c:v>
                  </c:pt>
                  <c:pt idx="437">
                    <c:v>مرتبه </c:v>
                  </c:pt>
                  <c:pt idx="439">
                    <c:v>مترمربع </c:v>
                  </c:pt>
                  <c:pt idx="440">
                    <c:v>مترمربع </c:v>
                  </c:pt>
                  <c:pt idx="441">
                    <c:v>متر</c:v>
                  </c:pt>
                  <c:pt idx="442">
                    <c:v>مترمکعب</c:v>
                  </c:pt>
                  <c:pt idx="443">
                    <c:v>اصله </c:v>
                  </c:pt>
                  <c:pt idx="444">
                    <c:v>مترمربع </c:v>
                  </c:pt>
                  <c:pt idx="445">
                    <c:v>مرتبه </c:v>
                  </c:pt>
                  <c:pt idx="447">
                    <c:v>مترمربع </c:v>
                  </c:pt>
                  <c:pt idx="448">
                    <c:v>خریطه</c:v>
                  </c:pt>
                  <c:pt idx="449">
                    <c:v>مترمربع </c:v>
                  </c:pt>
                  <c:pt idx="450">
                    <c:v>متر</c:v>
                  </c:pt>
                  <c:pt idx="451">
                    <c:v>مترمکعب</c:v>
                  </c:pt>
                  <c:pt idx="452">
                    <c:v>اصله </c:v>
                  </c:pt>
                  <c:pt idx="453">
                    <c:v>مترمربع </c:v>
                  </c:pt>
                  <c:pt idx="454">
                    <c:v>مرتبه </c:v>
                  </c:pt>
                  <c:pt idx="456">
                    <c:v>مترمربع </c:v>
                  </c:pt>
                  <c:pt idx="457">
                    <c:v>مترمربع </c:v>
                  </c:pt>
                  <c:pt idx="458">
                    <c:v>مترمربع </c:v>
                  </c:pt>
                  <c:pt idx="459">
                    <c:v>متر</c:v>
                  </c:pt>
                  <c:pt idx="460">
                    <c:v>مترمکعب</c:v>
                  </c:pt>
                  <c:pt idx="461">
                    <c:v>اصله </c:v>
                  </c:pt>
                  <c:pt idx="462">
                    <c:v>مرتبه </c:v>
                  </c:pt>
                  <c:pt idx="464">
                    <c:v>مترمربع </c:v>
                  </c:pt>
                  <c:pt idx="465">
                    <c:v>مترمربع </c:v>
                  </c:pt>
                  <c:pt idx="466">
                    <c:v>خریطه</c:v>
                  </c:pt>
                  <c:pt idx="467">
                    <c:v>مترمربع </c:v>
                  </c:pt>
                  <c:pt idx="468">
                    <c:v>متر</c:v>
                  </c:pt>
                  <c:pt idx="469">
                    <c:v>مترمکعب</c:v>
                  </c:pt>
                  <c:pt idx="470">
                    <c:v>اصله </c:v>
                  </c:pt>
                  <c:pt idx="471">
                    <c:v>مرتبه </c:v>
                  </c:pt>
                  <c:pt idx="473">
                    <c:v>مترمربع </c:v>
                  </c:pt>
                  <c:pt idx="474">
                    <c:v>مترمربع </c:v>
                  </c:pt>
                  <c:pt idx="475">
                    <c:v>متر</c:v>
                  </c:pt>
                  <c:pt idx="476">
                    <c:v>مترمکعب</c:v>
                  </c:pt>
                  <c:pt idx="477">
                    <c:v>اصله </c:v>
                  </c:pt>
                  <c:pt idx="478">
                    <c:v>مترمربع </c:v>
                  </c:pt>
                  <c:pt idx="479">
                    <c:v>مرتبه </c:v>
                  </c:pt>
                  <c:pt idx="481">
                    <c:v>مترمربع </c:v>
                  </c:pt>
                  <c:pt idx="482">
                    <c:v>مترمربع </c:v>
                  </c:pt>
                  <c:pt idx="483">
                    <c:v>متر</c:v>
                  </c:pt>
                  <c:pt idx="484">
                    <c:v>مترمکعب</c:v>
                  </c:pt>
                  <c:pt idx="485">
                    <c:v>اصله </c:v>
                  </c:pt>
                  <c:pt idx="486">
                    <c:v>مترمربع </c:v>
                  </c:pt>
                  <c:pt idx="487">
                    <c:v>مرتبه </c:v>
                  </c:pt>
                  <c:pt idx="489">
                    <c:v>مترمربع </c:v>
                  </c:pt>
                  <c:pt idx="490">
                    <c:v>مترمربع </c:v>
                  </c:pt>
                  <c:pt idx="491">
                    <c:v>متر</c:v>
                  </c:pt>
                  <c:pt idx="492">
                    <c:v>مترمکعب</c:v>
                  </c:pt>
                  <c:pt idx="493">
                    <c:v>اصله </c:v>
                  </c:pt>
                  <c:pt idx="494">
                    <c:v>مترمربع </c:v>
                  </c:pt>
                  <c:pt idx="495">
                    <c:v>مرتبه </c:v>
                  </c:pt>
                  <c:pt idx="497">
                    <c:v>مترمربع </c:v>
                  </c:pt>
                  <c:pt idx="498">
                    <c:v>مترمربع </c:v>
                  </c:pt>
                  <c:pt idx="499">
                    <c:v>متر</c:v>
                  </c:pt>
                  <c:pt idx="500">
                    <c:v>مترمکعب</c:v>
                  </c:pt>
                  <c:pt idx="501">
                    <c:v>اصله </c:v>
                  </c:pt>
                  <c:pt idx="502">
                    <c:v>مترمربع </c:v>
                  </c:pt>
                  <c:pt idx="503">
                    <c:v>مرتبه </c:v>
                  </c:pt>
                  <c:pt idx="505">
                    <c:v>مترمربع </c:v>
                  </c:pt>
                  <c:pt idx="506">
                    <c:v>مترمربع </c:v>
                  </c:pt>
                  <c:pt idx="507">
                    <c:v>مترمربع </c:v>
                  </c:pt>
                  <c:pt idx="508">
                    <c:v>متر</c:v>
                  </c:pt>
                  <c:pt idx="509">
                    <c:v>مترمکعب</c:v>
                  </c:pt>
                  <c:pt idx="510">
                    <c:v>اصله </c:v>
                  </c:pt>
                  <c:pt idx="511">
                    <c:v>مرتبه </c:v>
                  </c:pt>
                  <c:pt idx="513">
                    <c:v>مترمربع </c:v>
                  </c:pt>
                  <c:pt idx="514">
                    <c:v>مترمربع </c:v>
                  </c:pt>
                  <c:pt idx="515">
                    <c:v>مترمربع </c:v>
                  </c:pt>
                  <c:pt idx="516">
                    <c:v>متر</c:v>
                  </c:pt>
                  <c:pt idx="517">
                    <c:v>مترمکعب</c:v>
                  </c:pt>
                  <c:pt idx="518">
                    <c:v>مرتبه </c:v>
                  </c:pt>
                  <c:pt idx="520">
                    <c:v>مترمربع </c:v>
                  </c:pt>
                  <c:pt idx="521">
                    <c:v>مترمربع </c:v>
                  </c:pt>
                  <c:pt idx="522">
                    <c:v>مترمربع </c:v>
                  </c:pt>
                  <c:pt idx="523">
                    <c:v>متر</c:v>
                  </c:pt>
                  <c:pt idx="524">
                    <c:v>مترمکعب</c:v>
                  </c:pt>
                  <c:pt idx="525">
                    <c:v>اصله </c:v>
                  </c:pt>
                  <c:pt idx="526">
                    <c:v>مرتبه </c:v>
                  </c:pt>
                  <c:pt idx="528">
                    <c:v>مترمربع </c:v>
                  </c:pt>
                  <c:pt idx="529">
                    <c:v>مترمربع </c:v>
                  </c:pt>
                  <c:pt idx="530">
                    <c:v>مترمربع </c:v>
                  </c:pt>
                  <c:pt idx="531">
                    <c:v>متر</c:v>
                  </c:pt>
                  <c:pt idx="532">
                    <c:v>مترمکعب</c:v>
                  </c:pt>
                  <c:pt idx="533">
                    <c:v>اصله </c:v>
                  </c:pt>
                  <c:pt idx="534">
                    <c:v>مرتبه </c:v>
                  </c:pt>
                  <c:pt idx="538">
                    <c:v>واحد</c:v>
                  </c:pt>
                  <c:pt idx="539">
                    <c:v>نفر</c:v>
                  </c:pt>
                  <c:pt idx="540">
                    <c:v>نفر</c:v>
                  </c:pt>
                  <c:pt idx="541">
                    <c:v>متر</c:v>
                  </c:pt>
                  <c:pt idx="542">
                    <c:v>شبکه</c:v>
                  </c:pt>
                  <c:pt idx="544">
                    <c:v>واحد</c:v>
                  </c:pt>
                  <c:pt idx="545">
                    <c:v>نفر</c:v>
                  </c:pt>
                  <c:pt idx="546">
                    <c:v>نفر</c:v>
                  </c:pt>
                  <c:pt idx="548">
                    <c:v>واحد</c:v>
                  </c:pt>
                  <c:pt idx="549">
                    <c:v>نفر</c:v>
                  </c:pt>
                  <c:pt idx="553">
                    <c:v>نفر </c:v>
                  </c:pt>
                  <c:pt idx="565">
                    <c:v>محل امضاء</c:v>
                  </c:pt>
                  <c:pt idx="581">
                    <c:v>ارزش مجموعی</c:v>
                  </c:pt>
                  <c:pt idx="583">
                    <c:v> 800,000 </c:v>
                  </c:pt>
                  <c:pt idx="584">
                    <c:v> 64,000 </c:v>
                  </c:pt>
                  <c:pt idx="585">
                    <c:v> 40,000 </c:v>
                  </c:pt>
                  <c:pt idx="586">
                    <c:v> 904,000 </c:v>
                  </c:pt>
                  <c:pt idx="587">
                    <c:v>قیمت</c:v>
                  </c:pt>
                  <c:pt idx="588">
                    <c:v> 1,000,000 </c:v>
                  </c:pt>
                  <c:pt idx="589">
                    <c:v> 80,000 </c:v>
                  </c:pt>
                  <c:pt idx="590">
                    <c:v> 40,000 </c:v>
                  </c:pt>
                  <c:pt idx="591">
                    <c:v> 1,120,000 </c:v>
                  </c:pt>
                  <c:pt idx="592">
                    <c:v>قیمت</c:v>
                  </c:pt>
                  <c:pt idx="593">
                    <c:v> 400,000 </c:v>
                  </c:pt>
                  <c:pt idx="594">
                    <c:v> 32,000 </c:v>
                  </c:pt>
                  <c:pt idx="595">
                    <c:v> 160,000 </c:v>
                  </c:pt>
                  <c:pt idx="596">
                    <c:v> 40,000 </c:v>
                  </c:pt>
                  <c:pt idx="597">
                    <c:v> 632,000 </c:v>
                  </c:pt>
                  <c:pt idx="598">
                    <c:v>قیمت</c:v>
                  </c:pt>
                  <c:pt idx="599">
                    <c:v> 400,000 </c:v>
                  </c:pt>
                  <c:pt idx="600">
                    <c:v> 32,000 </c:v>
                  </c:pt>
                  <c:pt idx="601">
                    <c:v> 40,000 </c:v>
                  </c:pt>
                  <c:pt idx="602">
                    <c:v> 472,000 </c:v>
                  </c:pt>
                  <c:pt idx="603">
                    <c:v>قیمت</c:v>
                  </c:pt>
                  <c:pt idx="604">
                    <c:v> 600,000 </c:v>
                  </c:pt>
                  <c:pt idx="605">
                    <c:v> 48,000 </c:v>
                  </c:pt>
                  <c:pt idx="606">
                    <c:v> 40,000 </c:v>
                  </c:pt>
                  <c:pt idx="607">
                    <c:v> 688,000 </c:v>
                  </c:pt>
                  <c:pt idx="608">
                    <c:v>قیمت</c:v>
                  </c:pt>
                  <c:pt idx="609">
                    <c:v> 288,000 </c:v>
                  </c:pt>
                  <c:pt idx="610">
                    <c:v> 10,000 </c:v>
                  </c:pt>
                  <c:pt idx="611">
                    <c:v> 298,000 </c:v>
                  </c:pt>
                  <c:pt idx="612">
                    <c:v>قیمت</c:v>
                  </c:pt>
                  <c:pt idx="613">
                    <c:v> 144,000 </c:v>
                  </c:pt>
                  <c:pt idx="614">
                    <c:v> 10,000 </c:v>
                  </c:pt>
                  <c:pt idx="615">
                    <c:v> 154,000 </c:v>
                  </c:pt>
                  <c:pt idx="616">
                    <c:v>قیمت</c:v>
                  </c:pt>
                  <c:pt idx="617">
                    <c:v> 144,000 </c:v>
                  </c:pt>
                  <c:pt idx="618">
                    <c:v> 10,000 </c:v>
                  </c:pt>
                  <c:pt idx="619">
                    <c:v> 154,000 </c:v>
                  </c:pt>
                  <c:pt idx="620">
                    <c:v>قیمت</c:v>
                  </c:pt>
                  <c:pt idx="621">
                    <c:v> 1,000,000 </c:v>
                  </c:pt>
                  <c:pt idx="622">
                    <c:v> 75,000 </c:v>
                  </c:pt>
                  <c:pt idx="623">
                    <c:v> 160,000 </c:v>
                  </c:pt>
                  <c:pt idx="624">
                    <c:v> 40,000 </c:v>
                  </c:pt>
                  <c:pt idx="625">
                    <c:v> 1,275,000 </c:v>
                  </c:pt>
                  <c:pt idx="626">
                    <c:v>قیمت</c:v>
                  </c:pt>
                  <c:pt idx="627">
                    <c:v> 1,800,000 </c:v>
                  </c:pt>
                  <c:pt idx="628">
                    <c:v> 126,000 </c:v>
                  </c:pt>
                  <c:pt idx="629">
                    <c:v> 1,250,000 </c:v>
                  </c:pt>
                  <c:pt idx="630">
                    <c:v> 720,000 </c:v>
                  </c:pt>
                  <c:pt idx="631">
                    <c:v> 1,000,000 </c:v>
                  </c:pt>
                  <c:pt idx="632">
                    <c:v> 4,896,000 </c:v>
                  </c:pt>
                  <c:pt idx="633">
                    <c:v>قیمت</c:v>
                  </c:pt>
                  <c:pt idx="634">
                    <c:v> 400,000 </c:v>
                  </c:pt>
                  <c:pt idx="635">
                    <c:v> 32,000 </c:v>
                  </c:pt>
                  <c:pt idx="636">
                    <c:v> 40,000 </c:v>
                  </c:pt>
                  <c:pt idx="637">
                    <c:v> 472,000 </c:v>
                  </c:pt>
                  <c:pt idx="638">
                    <c:v>قیمت</c:v>
                  </c:pt>
                  <c:pt idx="639">
                    <c:v> 600,000 </c:v>
                  </c:pt>
                  <c:pt idx="640">
                    <c:v> 48,000 </c:v>
                  </c:pt>
                  <c:pt idx="641">
                    <c:v> 40,000 </c:v>
                  </c:pt>
                  <c:pt idx="642">
                    <c:v> 688,000 </c:v>
                  </c:pt>
                  <c:pt idx="643">
                    <c:v>قیمت</c:v>
                  </c:pt>
                  <c:pt idx="644">
                    <c:v> 1,200,000 </c:v>
                  </c:pt>
                  <c:pt idx="645">
                    <c:v> 817,000 </c:v>
                  </c:pt>
                  <c:pt idx="646">
                    <c:v> 2,017,000 </c:v>
                  </c:pt>
                  <c:pt idx="647">
                    <c:v> 13,770,000 </c:v>
                  </c:pt>
                  <c:pt idx="649">
                    <c:v>بودجه </c:v>
                  </c:pt>
                  <c:pt idx="651">
                    <c:v> 10,000 </c:v>
                  </c:pt>
                  <c:pt idx="652">
                    <c:v> 60,000 </c:v>
                  </c:pt>
                  <c:pt idx="655">
                    <c:v> 150,000 </c:v>
                  </c:pt>
                  <c:pt idx="656">
                    <c:v> 60,000 </c:v>
                  </c:pt>
                  <c:pt idx="658">
                    <c:v> 160,000 </c:v>
                  </c:pt>
                  <c:pt idx="659">
                    <c:v> 80,000 </c:v>
                  </c:pt>
                  <c:pt idx="660">
                    <c:v> 60,000 </c:v>
                  </c:pt>
                  <c:pt idx="661">
                    <c:v> 3,600 </c:v>
                  </c:pt>
                  <c:pt idx="662">
                    <c:v> 10,000 </c:v>
                  </c:pt>
                  <c:pt idx="663">
                    <c:v> 18,569 </c:v>
                  </c:pt>
                  <c:pt idx="664">
                    <c:v> 612,169 </c:v>
                  </c:pt>
                  <c:pt idx="665">
                    <c:v>قیمت</c:v>
                  </c:pt>
                  <c:pt idx="667">
                    <c:v> 108,000 </c:v>
                  </c:pt>
                  <c:pt idx="668">
                    <c:v> 96,000 </c:v>
                  </c:pt>
                  <c:pt idx="670">
                    <c:v> 60,800 </c:v>
                  </c:pt>
                  <c:pt idx="671">
                    <c:v> 101,333 </c:v>
                  </c:pt>
                  <c:pt idx="672">
                    <c:v> 264,000 </c:v>
                  </c:pt>
                  <c:pt idx="673">
                    <c:v> 100,000 </c:v>
                  </c:pt>
                  <c:pt idx="674">
                    <c:v> 330,000 </c:v>
                  </c:pt>
                  <c:pt idx="675">
                    <c:v> 330,000 </c:v>
                  </c:pt>
                  <c:pt idx="676">
                    <c:v> 264,000 </c:v>
                  </c:pt>
                  <c:pt idx="677">
                    <c:v> 528,000 </c:v>
                  </c:pt>
                  <c:pt idx="678">
                    <c:v> 160,000 </c:v>
                  </c:pt>
                  <c:pt idx="679">
                    <c:v> 7,500 </c:v>
                  </c:pt>
                  <c:pt idx="680">
                    <c:v> 2,000 </c:v>
                  </c:pt>
                  <c:pt idx="681">
                    <c:v> 16,000 </c:v>
                  </c:pt>
                  <c:pt idx="682">
                    <c:v> 80,000 </c:v>
                  </c:pt>
                  <c:pt idx="683">
                    <c:v> 72,000 </c:v>
                  </c:pt>
                  <c:pt idx="685">
                    <c:v> 160,000 </c:v>
                  </c:pt>
                  <c:pt idx="686">
                    <c:v> 80,000 </c:v>
                  </c:pt>
                  <c:pt idx="687">
                    <c:v> 60,000 </c:v>
                  </c:pt>
                  <c:pt idx="688">
                    <c:v> 3,600 </c:v>
                  </c:pt>
                  <c:pt idx="689">
                    <c:v> 10,000 </c:v>
                  </c:pt>
                  <c:pt idx="690">
                    <c:v> 10,000 </c:v>
                  </c:pt>
                  <c:pt idx="691">
                    <c:v> 18,569 </c:v>
                  </c:pt>
                  <c:pt idx="692">
                    <c:v> 2,861,802 </c:v>
                  </c:pt>
                  <c:pt idx="693">
                    <c:v>قیمت</c:v>
                  </c:pt>
                  <c:pt idx="694">
                    <c:v> 10,000 </c:v>
                  </c:pt>
                  <c:pt idx="695">
                    <c:v> 60,000 </c:v>
                  </c:pt>
                  <c:pt idx="698">
                    <c:v> 100,000 </c:v>
                  </c:pt>
                  <c:pt idx="699">
                    <c:v> 100,000 </c:v>
                  </c:pt>
                  <c:pt idx="701">
                    <c:v> 160,000 </c:v>
                  </c:pt>
                  <c:pt idx="702">
                    <c:v> 80,000 </c:v>
                  </c:pt>
                  <c:pt idx="703">
                    <c:v> 60,000 </c:v>
                  </c:pt>
                  <c:pt idx="704">
                    <c:v> 3,600 </c:v>
                  </c:pt>
                  <c:pt idx="705">
                    <c:v> 10,000 </c:v>
                  </c:pt>
                  <c:pt idx="706">
                    <c:v> 18,569 </c:v>
                  </c:pt>
                  <c:pt idx="707">
                    <c:v> 602,169 </c:v>
                  </c:pt>
                  <c:pt idx="708">
                    <c:v>قیمت</c:v>
                  </c:pt>
                  <c:pt idx="709">
                    <c:v> 96,000 </c:v>
                  </c:pt>
                  <c:pt idx="711">
                    <c:v> 48,000 </c:v>
                  </c:pt>
                  <c:pt idx="712">
                    <c:v> 80,000 </c:v>
                  </c:pt>
                  <c:pt idx="713">
                    <c:v> 200,000 </c:v>
                  </c:pt>
                  <c:pt idx="714">
                    <c:v> 100,000 </c:v>
                  </c:pt>
                  <c:pt idx="715">
                    <c:v> 250,000 </c:v>
                  </c:pt>
                  <c:pt idx="716">
                    <c:v> 250,000 </c:v>
                  </c:pt>
                  <c:pt idx="717">
                    <c:v> 200,000 </c:v>
                  </c:pt>
                  <c:pt idx="718">
                    <c:v> 400,000 </c:v>
                  </c:pt>
                  <c:pt idx="719">
                    <c:v> 160,000 </c:v>
                  </c:pt>
                  <c:pt idx="720">
                    <c:v> 7,500 </c:v>
                  </c:pt>
                  <c:pt idx="721">
                    <c:v> 2,000 </c:v>
                  </c:pt>
                  <c:pt idx="722">
                    <c:v> 16,000 </c:v>
                  </c:pt>
                  <c:pt idx="723">
                    <c:v> 80,000 </c:v>
                  </c:pt>
                  <c:pt idx="724">
                    <c:v> 72,000 </c:v>
                  </c:pt>
                  <c:pt idx="726">
                    <c:v> 160,000 </c:v>
                  </c:pt>
                  <c:pt idx="727">
                    <c:v> 80,000 </c:v>
                  </c:pt>
                  <c:pt idx="728">
                    <c:v> 80,000 </c:v>
                  </c:pt>
                  <c:pt idx="729">
                    <c:v> 15,000 </c:v>
                  </c:pt>
                  <c:pt idx="730">
                    <c:v> 3,600 </c:v>
                  </c:pt>
                  <c:pt idx="731">
                    <c:v> 20,000 </c:v>
                  </c:pt>
                  <c:pt idx="732">
                    <c:v> 8,000 </c:v>
                  </c:pt>
                  <c:pt idx="733">
                    <c:v> 10,000 </c:v>
                  </c:pt>
                  <c:pt idx="734">
                    <c:v> 18,569 </c:v>
                  </c:pt>
                  <c:pt idx="735">
                    <c:v> 2,356,669 </c:v>
                  </c:pt>
                  <c:pt idx="736">
                    <c:v>قیمت</c:v>
                  </c:pt>
                  <c:pt idx="737">
                    <c:v> 10,000 </c:v>
                  </c:pt>
                  <c:pt idx="738">
                    <c:v> 60,000 </c:v>
                  </c:pt>
                  <c:pt idx="741">
                    <c:v> 100,000 </c:v>
                  </c:pt>
                  <c:pt idx="742">
                    <c:v> 100,000 </c:v>
                  </c:pt>
                  <c:pt idx="744">
                    <c:v> 320,000 </c:v>
                  </c:pt>
                  <c:pt idx="745">
                    <c:v> 160,000 </c:v>
                  </c:pt>
                  <c:pt idx="746">
                    <c:v> 120,000 </c:v>
                  </c:pt>
                  <c:pt idx="747">
                    <c:v> 7,200 </c:v>
                  </c:pt>
                  <c:pt idx="748">
                    <c:v> 20,000 </c:v>
                  </c:pt>
                  <c:pt idx="749">
                    <c:v> 18,569 </c:v>
                  </c:pt>
                  <c:pt idx="750">
                    <c:v> 915,769 </c:v>
                  </c:pt>
                  <c:pt idx="751">
                    <c:v>قیمت</c:v>
                  </c:pt>
                  <c:pt idx="753">
                    <c:v> 108,000 </c:v>
                  </c:pt>
                  <c:pt idx="754">
                    <c:v> 96,000 </c:v>
                  </c:pt>
                  <c:pt idx="755">
                    <c:v> 160,000 </c:v>
                  </c:pt>
                  <c:pt idx="756">
                    <c:v> 72,000 </c:v>
                  </c:pt>
                  <c:pt idx="757">
                    <c:v> 18,569 </c:v>
                  </c:pt>
                  <c:pt idx="758">
                    <c:v> 454,569 </c:v>
                  </c:pt>
                  <c:pt idx="759">
                    <c:v>قیمت</c:v>
                  </c:pt>
                  <c:pt idx="761">
                    <c:v> 96,000 </c:v>
                  </c:pt>
                  <c:pt idx="762">
                    <c:v> 72,000 </c:v>
                  </c:pt>
                  <c:pt idx="763">
                    <c:v> 160,000 </c:v>
                  </c:pt>
                  <c:pt idx="764">
                    <c:v> 18,569 </c:v>
                  </c:pt>
                  <c:pt idx="765">
                    <c:v> 346,569 </c:v>
                  </c:pt>
                  <c:pt idx="766">
                    <c:v>قیمت</c:v>
                  </c:pt>
                  <c:pt idx="767">
                    <c:v> 108,000 </c:v>
                  </c:pt>
                  <c:pt idx="768">
                    <c:v> 96,000 </c:v>
                  </c:pt>
                  <c:pt idx="769">
                    <c:v> 10,000 </c:v>
                  </c:pt>
                  <c:pt idx="770">
                    <c:v> 60,000 </c:v>
                  </c:pt>
                  <c:pt idx="772">
                    <c:v> 48,000 </c:v>
                  </c:pt>
                  <c:pt idx="773">
                    <c:v> 80,000 </c:v>
                  </c:pt>
                  <c:pt idx="774">
                    <c:v> 200,000 </c:v>
                  </c:pt>
                  <c:pt idx="775">
                    <c:v> 100,000 </c:v>
                  </c:pt>
                  <c:pt idx="776">
                    <c:v> 250,000 </c:v>
                  </c:pt>
                  <c:pt idx="777">
                    <c:v> 250,000 </c:v>
                  </c:pt>
                  <c:pt idx="778">
                    <c:v> 200,000 </c:v>
                  </c:pt>
                  <c:pt idx="779">
                    <c:v> 400,000 </c:v>
                  </c:pt>
                  <c:pt idx="780">
                    <c:v> 160,000 </c:v>
                  </c:pt>
                  <c:pt idx="781">
                    <c:v> 7,500 </c:v>
                  </c:pt>
                  <c:pt idx="782">
                    <c:v> 2,000 </c:v>
                  </c:pt>
                  <c:pt idx="783">
                    <c:v> 16,000 </c:v>
                  </c:pt>
                  <c:pt idx="784">
                    <c:v> 80,000 </c:v>
                  </c:pt>
                  <c:pt idx="785">
                    <c:v> 72,000 </c:v>
                  </c:pt>
                  <c:pt idx="786">
                    <c:v> -   </c:v>
                  </c:pt>
                  <c:pt idx="787">
                    <c:v> 160,000 </c:v>
                  </c:pt>
                  <c:pt idx="788">
                    <c:v> 10,000 </c:v>
                  </c:pt>
                  <c:pt idx="789">
                    <c:v> 80,000 </c:v>
                  </c:pt>
                  <c:pt idx="790">
                    <c:v> 60,000 </c:v>
                  </c:pt>
                  <c:pt idx="791">
                    <c:v> 3,600 </c:v>
                  </c:pt>
                  <c:pt idx="792">
                    <c:v> 10,000 </c:v>
                  </c:pt>
                  <c:pt idx="793">
                    <c:v> 18,569 </c:v>
                  </c:pt>
                  <c:pt idx="794">
                    <c:v> 2,481,669 </c:v>
                  </c:pt>
                  <c:pt idx="795">
                    <c:v>قیمت</c:v>
                  </c:pt>
                  <c:pt idx="796">
                    <c:v> 96,000 </c:v>
                  </c:pt>
                  <c:pt idx="799">
                    <c:v> 48,000 </c:v>
                  </c:pt>
                  <c:pt idx="800">
                    <c:v> 80,000 </c:v>
                  </c:pt>
                  <c:pt idx="801">
                    <c:v> 200,000 </c:v>
                  </c:pt>
                  <c:pt idx="802">
                    <c:v> 100,000 </c:v>
                  </c:pt>
                  <c:pt idx="803">
                    <c:v> 250,000 </c:v>
                  </c:pt>
                  <c:pt idx="804">
                    <c:v> 250,000 </c:v>
                  </c:pt>
                  <c:pt idx="805">
                    <c:v> 200,000 </c:v>
                  </c:pt>
                  <c:pt idx="806">
                    <c:v> 400,000 </c:v>
                  </c:pt>
                  <c:pt idx="807">
                    <c:v> 160,000 </c:v>
                  </c:pt>
                  <c:pt idx="808">
                    <c:v> 7,500 </c:v>
                  </c:pt>
                  <c:pt idx="809">
                    <c:v> 2,000 </c:v>
                  </c:pt>
                  <c:pt idx="810">
                    <c:v> 16,000 </c:v>
                  </c:pt>
                  <c:pt idx="811">
                    <c:v> 80,000 </c:v>
                  </c:pt>
                  <c:pt idx="812">
                    <c:v> 72,000 </c:v>
                  </c:pt>
                  <c:pt idx="813">
                    <c:v> 10,000 </c:v>
                  </c:pt>
                  <c:pt idx="814">
                    <c:v> 18,569 </c:v>
                  </c:pt>
                  <c:pt idx="815">
                    <c:v> 1,990,069 </c:v>
                  </c:pt>
                  <c:pt idx="816">
                    <c:v>قیمت</c:v>
                  </c:pt>
                  <c:pt idx="817">
                    <c:v> 10,000 </c:v>
                  </c:pt>
                  <c:pt idx="818">
                    <c:v> 60,000 </c:v>
                  </c:pt>
                  <c:pt idx="820">
                    <c:v> 250,000 </c:v>
                  </c:pt>
                  <c:pt idx="821">
                    <c:v> 100,000 </c:v>
                  </c:pt>
                  <c:pt idx="822">
                    <c:v> 18,569 </c:v>
                  </c:pt>
                  <c:pt idx="823">
                    <c:v> 438,569 </c:v>
                  </c:pt>
                  <c:pt idx="824">
                    <c:v>قیمت</c:v>
                  </c:pt>
                  <c:pt idx="825">
                    <c:v> 10,000 </c:v>
                  </c:pt>
                  <c:pt idx="826">
                    <c:v> 60,000 </c:v>
                  </c:pt>
                  <c:pt idx="828">
                    <c:v> 250,000 </c:v>
                  </c:pt>
                  <c:pt idx="829">
                    <c:v> 100,000 </c:v>
                  </c:pt>
                  <c:pt idx="830">
                    <c:v> 18,569 </c:v>
                  </c:pt>
                  <c:pt idx="831">
                    <c:v> 438,569 </c:v>
                  </c:pt>
                  <c:pt idx="832">
                    <c:v>قیمت</c:v>
                  </c:pt>
                  <c:pt idx="833">
                    <c:v> 10,000 </c:v>
                  </c:pt>
                  <c:pt idx="834">
                    <c:v> 60,000 </c:v>
                  </c:pt>
                  <c:pt idx="836">
                    <c:v> 250,000 </c:v>
                  </c:pt>
                  <c:pt idx="837">
                    <c:v> 100,000 </c:v>
                  </c:pt>
                  <c:pt idx="838">
                    <c:v> 18,569 </c:v>
                  </c:pt>
                  <c:pt idx="839">
                    <c:v> 438,569 </c:v>
                  </c:pt>
                  <c:pt idx="840">
                    <c:v>قیمت</c:v>
                  </c:pt>
                  <c:pt idx="841">
                    <c:v> 10,000 </c:v>
                  </c:pt>
                  <c:pt idx="842">
                    <c:v> 60,000 </c:v>
                  </c:pt>
                  <c:pt idx="844">
                    <c:v> 100,000 </c:v>
                  </c:pt>
                  <c:pt idx="845">
                    <c:v> 100,000 </c:v>
                  </c:pt>
                  <c:pt idx="846">
                    <c:v> 18,569 </c:v>
                  </c:pt>
                  <c:pt idx="847">
                    <c:v> 288,569 </c:v>
                  </c:pt>
                  <c:pt idx="848">
                    <c:v>قیمت</c:v>
                  </c:pt>
                  <c:pt idx="849">
                    <c:v> 10,000 </c:v>
                  </c:pt>
                  <c:pt idx="850">
                    <c:v> 60,000 </c:v>
                  </c:pt>
                  <c:pt idx="852">
                    <c:v> 100,000 </c:v>
                  </c:pt>
                  <c:pt idx="853">
                    <c:v> 100,000 </c:v>
                  </c:pt>
                  <c:pt idx="855">
                    <c:v> 320,000 </c:v>
                  </c:pt>
                  <c:pt idx="856">
                    <c:v> 160,000 </c:v>
                  </c:pt>
                  <c:pt idx="857">
                    <c:v> 120,000 </c:v>
                  </c:pt>
                  <c:pt idx="858">
                    <c:v> 7,200 </c:v>
                  </c:pt>
                  <c:pt idx="859">
                    <c:v> 20,000 </c:v>
                  </c:pt>
                  <c:pt idx="860">
                    <c:v> 18,569 </c:v>
                  </c:pt>
                  <c:pt idx="861">
                    <c:v> 915,769 </c:v>
                  </c:pt>
                  <c:pt idx="862">
                    <c:v>قیمت</c:v>
                  </c:pt>
                  <c:pt idx="863">
                    <c:v> 10,000 </c:v>
                  </c:pt>
                  <c:pt idx="864">
                    <c:v> 60,000 </c:v>
                  </c:pt>
                  <c:pt idx="866">
                    <c:v> 250,000 </c:v>
                  </c:pt>
                  <c:pt idx="867">
                    <c:v> 100,000 </c:v>
                  </c:pt>
                  <c:pt idx="869">
                    <c:v> 160,000 </c:v>
                  </c:pt>
                  <c:pt idx="870">
                    <c:v> 80,000 </c:v>
                  </c:pt>
                  <c:pt idx="871">
                    <c:v> 60,000 </c:v>
                  </c:pt>
                  <c:pt idx="872">
                    <c:v> 7,200 </c:v>
                  </c:pt>
                  <c:pt idx="873">
                    <c:v> 10,000 </c:v>
                  </c:pt>
                  <c:pt idx="874">
                    <c:v> 18,569 </c:v>
                  </c:pt>
                  <c:pt idx="875">
                    <c:v> 755,769 </c:v>
                  </c:pt>
                  <c:pt idx="876">
                    <c:v> 914,221 </c:v>
                  </c:pt>
                  <c:pt idx="877">
                    <c:v> 997,332 </c:v>
                  </c:pt>
                  <c:pt idx="878">
                    <c:v> 1,911,553 </c:v>
                  </c:pt>
                  <c:pt idx="879">
                    <c:v> 17,808,821 </c:v>
                  </c:pt>
                  <c:pt idx="881">
                    <c:v>قیمت</c:v>
                  </c:pt>
                  <c:pt idx="882">
                    <c:v> 10,000 </c:v>
                  </c:pt>
                  <c:pt idx="883">
                    <c:v> 120,000 </c:v>
                  </c:pt>
                  <c:pt idx="884">
                    <c:v> 2,872 </c:v>
                  </c:pt>
                  <c:pt idx="885">
                    <c:v> 16,000 </c:v>
                  </c:pt>
                  <c:pt idx="886">
                    <c:v> 20,000 </c:v>
                  </c:pt>
                  <c:pt idx="887">
                    <c:v> 4,000 </c:v>
                  </c:pt>
                  <c:pt idx="888">
                    <c:v> 30,000 </c:v>
                  </c:pt>
                  <c:pt idx="889">
                    <c:v> 202,872 </c:v>
                  </c:pt>
                  <c:pt idx="890">
                    <c:v> 50,000 </c:v>
                  </c:pt>
                  <c:pt idx="891">
                    <c:v> 120,000 </c:v>
                  </c:pt>
                  <c:pt idx="892">
                    <c:v> 2,500 </c:v>
                  </c:pt>
                  <c:pt idx="893">
                    <c:v> 8,800 </c:v>
                  </c:pt>
                  <c:pt idx="894">
                    <c:v> 20,000 </c:v>
                  </c:pt>
                  <c:pt idx="895">
                    <c:v> 4,000 </c:v>
                  </c:pt>
                  <c:pt idx="896">
                    <c:v> 20,000 </c:v>
                  </c:pt>
                  <c:pt idx="897">
                    <c:v> 225,300 </c:v>
                  </c:pt>
                  <c:pt idx="898">
                    <c:v> 50,000 </c:v>
                  </c:pt>
                  <c:pt idx="899">
                    <c:v> 4,000 </c:v>
                  </c:pt>
                  <c:pt idx="900">
                    <c:v> 120,000 </c:v>
                  </c:pt>
                  <c:pt idx="901">
                    <c:v> 3,000 </c:v>
                  </c:pt>
                  <c:pt idx="902">
                    <c:v> 16,000 </c:v>
                  </c:pt>
                  <c:pt idx="903">
                    <c:v> 20,000 </c:v>
                  </c:pt>
                  <c:pt idx="904">
                    <c:v> 20,000 </c:v>
                  </c:pt>
                  <c:pt idx="905">
                    <c:v> 233,000 </c:v>
                  </c:pt>
                  <c:pt idx="906">
                    <c:v> 300,000 </c:v>
                  </c:pt>
                  <c:pt idx="907">
                    <c:v> 20,000 </c:v>
                  </c:pt>
                  <c:pt idx="908">
                    <c:v> 5,000 </c:v>
                  </c:pt>
                  <c:pt idx="909">
                    <c:v> 8,000 </c:v>
                  </c:pt>
                  <c:pt idx="910">
                    <c:v> 200,000 </c:v>
                  </c:pt>
                  <c:pt idx="911">
                    <c:v> 10,865,694 </c:v>
                  </c:pt>
                  <c:pt idx="912">
                    <c:v> 11,398,694 </c:v>
                  </c:pt>
                  <c:pt idx="913">
                    <c:v> 40,000 </c:v>
                  </c:pt>
                  <c:pt idx="914">
                    <c:v> 4,000 </c:v>
                  </c:pt>
                  <c:pt idx="915">
                    <c:v> 120,000 </c:v>
                  </c:pt>
                  <c:pt idx="916">
                    <c:v> 2,500 </c:v>
                  </c:pt>
                  <c:pt idx="917">
                    <c:v> 9,600 </c:v>
                  </c:pt>
                  <c:pt idx="918">
                    <c:v> 30,000 </c:v>
                  </c:pt>
                  <c:pt idx="919">
                    <c:v> 1,250,000 </c:v>
                  </c:pt>
                  <c:pt idx="920">
                    <c:v> 1,456,100 </c:v>
                  </c:pt>
                  <c:pt idx="921">
                    <c:v> 40,000 </c:v>
                  </c:pt>
                  <c:pt idx="922">
                    <c:v> 160,000 </c:v>
                  </c:pt>
                  <c:pt idx="923">
                    <c:v> 2,500 </c:v>
                  </c:pt>
                  <c:pt idx="924">
                    <c:v> 9,600 </c:v>
                  </c:pt>
                  <c:pt idx="925">
                    <c:v> 30,000 </c:v>
                  </c:pt>
                  <c:pt idx="926">
                    <c:v> 242,100 </c:v>
                  </c:pt>
                  <c:pt idx="927">
                    <c:v> 150,000 </c:v>
                  </c:pt>
                  <c:pt idx="928">
                    <c:v> 8,000 </c:v>
                  </c:pt>
                  <c:pt idx="929">
                    <c:v> 26,667 </c:v>
                  </c:pt>
                  <c:pt idx="930">
                    <c:v> 280,000 </c:v>
                  </c:pt>
                  <c:pt idx="931">
                    <c:v> 3,000 </c:v>
                  </c:pt>
                  <c:pt idx="932">
                    <c:v> 16,000 </c:v>
                  </c:pt>
                  <c:pt idx="933">
                    <c:v> 20,000 </c:v>
                  </c:pt>
                  <c:pt idx="934">
                    <c:v> 30,000 </c:v>
                  </c:pt>
                  <c:pt idx="935">
                    <c:v> 533,667 </c:v>
                  </c:pt>
                  <c:pt idx="936">
                    <c:v> 30,000 </c:v>
                  </c:pt>
                  <c:pt idx="937">
                    <c:v> 80,000 </c:v>
                  </c:pt>
                  <c:pt idx="938">
                    <c:v> 3,000 </c:v>
                  </c:pt>
                  <c:pt idx="939">
                    <c:v> 12,000 </c:v>
                  </c:pt>
                  <c:pt idx="940">
                    <c:v> 4,000 </c:v>
                  </c:pt>
                  <c:pt idx="941">
                    <c:v> 1,563,000 </c:v>
                  </c:pt>
                  <c:pt idx="942">
                    <c:v> 20,000 </c:v>
                  </c:pt>
                  <c:pt idx="943">
                    <c:v> 1,712,000 </c:v>
                  </c:pt>
                  <c:pt idx="944">
                    <c:v> 50,000 </c:v>
                  </c:pt>
                  <c:pt idx="945">
                    <c:v> 4,000 </c:v>
                  </c:pt>
                  <c:pt idx="946">
                    <c:v> 240,000 </c:v>
                  </c:pt>
                  <c:pt idx="947">
                    <c:v> 3,000 </c:v>
                  </c:pt>
                  <c:pt idx="948">
                    <c:v> 12,000 </c:v>
                  </c:pt>
                  <c:pt idx="949">
                    <c:v> 20,000 </c:v>
                  </c:pt>
                  <c:pt idx="950">
                    <c:v> 30,000 </c:v>
                  </c:pt>
                  <c:pt idx="951">
                    <c:v> 359,000 </c:v>
                  </c:pt>
                  <c:pt idx="952">
                    <c:v> 60,000 </c:v>
                  </c:pt>
                  <c:pt idx="953">
                    <c:v> 4,000 </c:v>
                  </c:pt>
                  <c:pt idx="954">
                    <c:v> 26,667 </c:v>
                  </c:pt>
                  <c:pt idx="955">
                    <c:v> 200,000 </c:v>
                  </c:pt>
                  <c:pt idx="956">
                    <c:v> 3,000 </c:v>
                  </c:pt>
                  <c:pt idx="957">
                    <c:v> 9,600 </c:v>
                  </c:pt>
                  <c:pt idx="958">
                    <c:v> 20,000 </c:v>
                  </c:pt>
                  <c:pt idx="959">
                    <c:v> 30,000 </c:v>
                  </c:pt>
                  <c:pt idx="960">
                    <c:v> 353,267 </c:v>
                  </c:pt>
                  <c:pt idx="961">
                    <c:v> 50,000 </c:v>
                  </c:pt>
                  <c:pt idx="962">
                    <c:v> 4,000 </c:v>
                  </c:pt>
                  <c:pt idx="963">
                    <c:v> 200,000 </c:v>
                  </c:pt>
                  <c:pt idx="964">
                    <c:v> 3,000 </c:v>
                  </c:pt>
                  <c:pt idx="965">
                    <c:v> 16,000 </c:v>
                  </c:pt>
                  <c:pt idx="966">
                    <c:v> 20,000 </c:v>
                  </c:pt>
                  <c:pt idx="967">
                    <c:v> 30,000 </c:v>
                  </c:pt>
                  <c:pt idx="968">
                    <c:v> 323,000 </c:v>
                  </c:pt>
                  <c:pt idx="969">
                    <c:v> 60,000 </c:v>
                  </c:pt>
                  <c:pt idx="970">
                    <c:v> 4,000 </c:v>
                  </c:pt>
                  <c:pt idx="971">
                    <c:v> 200,000 </c:v>
                  </c:pt>
                  <c:pt idx="972">
                    <c:v> 2,500 </c:v>
                  </c:pt>
                  <c:pt idx="973">
                    <c:v> 12,000 </c:v>
                  </c:pt>
                  <c:pt idx="974">
                    <c:v> 700,000 </c:v>
                  </c:pt>
                  <c:pt idx="975">
                    <c:v> 30,000 </c:v>
                  </c:pt>
                  <c:pt idx="976">
                    <c:v> 1,008,500 </c:v>
                  </c:pt>
                  <c:pt idx="977">
                    <c:v> 60,000 </c:v>
                  </c:pt>
                  <c:pt idx="978">
                    <c:v> 4,000 </c:v>
                  </c:pt>
                  <c:pt idx="979">
                    <c:v> 200,000 </c:v>
                  </c:pt>
                  <c:pt idx="980">
                    <c:v> 20,000 </c:v>
                  </c:pt>
                  <c:pt idx="981">
                    <c:v> 3,000 </c:v>
                  </c:pt>
                  <c:pt idx="982">
                    <c:v> 8,600 </c:v>
                  </c:pt>
                  <c:pt idx="983">
                    <c:v> 20,000 </c:v>
                  </c:pt>
                  <c:pt idx="984">
                    <c:v> 700,000 </c:v>
                  </c:pt>
                  <c:pt idx="985">
                    <c:v> 30,000 </c:v>
                  </c:pt>
                  <c:pt idx="986">
                    <c:v> 1,045,600 </c:v>
                  </c:pt>
                  <c:pt idx="987">
                    <c:v> 50,000 </c:v>
                  </c:pt>
                  <c:pt idx="988">
                    <c:v> 120,000 </c:v>
                  </c:pt>
                  <c:pt idx="989">
                    <c:v> 2,500 </c:v>
                  </c:pt>
                  <c:pt idx="990">
                    <c:v> 12,000 </c:v>
                  </c:pt>
                  <c:pt idx="991">
                    <c:v> 4,000 </c:v>
                  </c:pt>
                  <c:pt idx="992">
                    <c:v> 585,102 </c:v>
                  </c:pt>
                  <c:pt idx="993">
                    <c:v> 30,000 </c:v>
                  </c:pt>
                  <c:pt idx="994">
                    <c:v> 803,602 </c:v>
                  </c:pt>
                  <c:pt idx="995">
                    <c:v> 100,000 </c:v>
                  </c:pt>
                  <c:pt idx="996">
                    <c:v> 2,500 </c:v>
                  </c:pt>
                  <c:pt idx="997">
                    <c:v> 8,000 </c:v>
                  </c:pt>
                  <c:pt idx="998">
                    <c:v> 4,000 </c:v>
                  </c:pt>
                  <c:pt idx="999">
                    <c:v> 500,000 </c:v>
                  </c:pt>
                  <c:pt idx="1000">
                    <c:v> 20,000 </c:v>
                  </c:pt>
                  <c:pt idx="1001">
                    <c:v> 634,500 </c:v>
                  </c:pt>
                  <c:pt idx="1002">
                    <c:v> 150,000 </c:v>
                  </c:pt>
                  <c:pt idx="1003">
                    <c:v> 8,000 </c:v>
                  </c:pt>
                  <c:pt idx="1004">
                    <c:v> 53,333 </c:v>
                  </c:pt>
                  <c:pt idx="1005">
                    <c:v> 280,000 </c:v>
                  </c:pt>
                  <c:pt idx="1006">
                    <c:v> 3,000 </c:v>
                  </c:pt>
                  <c:pt idx="1007">
                    <c:v> 16,000 </c:v>
                  </c:pt>
                  <c:pt idx="1008">
                    <c:v> 30,000 </c:v>
                  </c:pt>
                  <c:pt idx="1009">
                    <c:v> 133,333 </c:v>
                  </c:pt>
                  <c:pt idx="1010">
                    <c:v> 66,667 </c:v>
                  </c:pt>
                  <c:pt idx="1011">
                    <c:v> 66,667 </c:v>
                  </c:pt>
                  <c:pt idx="1012">
                    <c:v> 14,000 </c:v>
                  </c:pt>
                  <c:pt idx="1013">
                    <c:v> 18,000 </c:v>
                  </c:pt>
                  <c:pt idx="1014">
                    <c:v> 17,500 </c:v>
                  </c:pt>
                  <c:pt idx="1015">
                    <c:v> 800,000 </c:v>
                  </c:pt>
                  <c:pt idx="1016">
                    <c:v> 101,500 </c:v>
                  </c:pt>
                  <c:pt idx="1017">
                    <c:v> 1,758,000 </c:v>
                  </c:pt>
                  <c:pt idx="1018">
                    <c:v> 40,000 </c:v>
                  </c:pt>
                  <c:pt idx="1019">
                    <c:v> 120,000 </c:v>
                  </c:pt>
                  <c:pt idx="1020">
                    <c:v> 2,500 </c:v>
                  </c:pt>
                  <c:pt idx="1021">
                    <c:v> 8,000 </c:v>
                  </c:pt>
                  <c:pt idx="1022">
                    <c:v> 20,000 </c:v>
                  </c:pt>
                  <c:pt idx="1023">
                    <c:v> 4,000 </c:v>
                  </c:pt>
                  <c:pt idx="1024">
                    <c:v> 20,000 </c:v>
                  </c:pt>
                  <c:pt idx="1025">
                    <c:v> 214,500 </c:v>
                  </c:pt>
                  <c:pt idx="1026">
                    <c:v> 40,000 </c:v>
                  </c:pt>
                  <c:pt idx="1027">
                    <c:v> 40,000 </c:v>
                  </c:pt>
                  <c:pt idx="1028">
                    <c:v> 200,000 </c:v>
                  </c:pt>
                  <c:pt idx="1029">
                    <c:v> 3,000 </c:v>
                  </c:pt>
                  <c:pt idx="1030">
                    <c:v> 12,000 </c:v>
                  </c:pt>
                  <c:pt idx="1031">
                    <c:v> 20,000 </c:v>
                  </c:pt>
                  <c:pt idx="1032">
                    <c:v> 4,000 </c:v>
                  </c:pt>
                  <c:pt idx="1033">
                    <c:v> 30,000 </c:v>
                  </c:pt>
                  <c:pt idx="1034">
                    <c:v> 349,000 </c:v>
                  </c:pt>
                  <c:pt idx="1035">
                    <c:v> 80,000 </c:v>
                  </c:pt>
                  <c:pt idx="1036">
                    <c:v> 8,000 </c:v>
                  </c:pt>
                  <c:pt idx="1037">
                    <c:v> 240,000 </c:v>
                  </c:pt>
                  <c:pt idx="1038">
                    <c:v> 3,500 </c:v>
                  </c:pt>
                  <c:pt idx="1039">
                    <c:v> 12,000 </c:v>
                  </c:pt>
                  <c:pt idx="1040">
                    <c:v> 60,000 </c:v>
                  </c:pt>
                  <c:pt idx="1041">
                    <c:v> 30,000 </c:v>
                  </c:pt>
                  <c:pt idx="1042">
                    <c:v> 433,500 </c:v>
                  </c:pt>
                  <c:pt idx="1043">
                    <c:v> 60,000 </c:v>
                  </c:pt>
                  <c:pt idx="1044">
                    <c:v> 4,000 </c:v>
                  </c:pt>
                  <c:pt idx="1045">
                    <c:v> 26,667 </c:v>
                  </c:pt>
                  <c:pt idx="1046">
                    <c:v> 240,000 </c:v>
                  </c:pt>
                  <c:pt idx="1047">
                    <c:v> 3,000 </c:v>
                  </c:pt>
                  <c:pt idx="1048">
                    <c:v> 12,000 </c:v>
                  </c:pt>
                  <c:pt idx="1049">
                    <c:v> 20,000 </c:v>
                  </c:pt>
                  <c:pt idx="1050">
                    <c:v> 30,000 </c:v>
                  </c:pt>
                  <c:pt idx="1051">
                    <c:v> 395,667 </c:v>
                  </c:pt>
                  <c:pt idx="1052">
                    <c:v> 60,000 </c:v>
                  </c:pt>
                  <c:pt idx="1053">
                    <c:v> 200,000 </c:v>
                  </c:pt>
                  <c:pt idx="1054">
                    <c:v> 3,500 </c:v>
                  </c:pt>
                  <c:pt idx="1055">
                    <c:v> 12,000 </c:v>
                  </c:pt>
                  <c:pt idx="1056">
                    <c:v> 20,000 </c:v>
                  </c:pt>
                  <c:pt idx="1057">
                    <c:v> 4,000 </c:v>
                  </c:pt>
                  <c:pt idx="1058">
                    <c:v> 30,000 </c:v>
                  </c:pt>
                  <c:pt idx="1059">
                    <c:v> 329,500 </c:v>
                  </c:pt>
                  <c:pt idx="1060">
                    <c:v> 100,000 </c:v>
                  </c:pt>
                  <c:pt idx="1061">
                    <c:v> 240,000 </c:v>
                  </c:pt>
                  <c:pt idx="1062">
                    <c:v> 3,000 </c:v>
                  </c:pt>
                  <c:pt idx="1063">
                    <c:v> 12,000 </c:v>
                  </c:pt>
                  <c:pt idx="1064">
                    <c:v> 24,000 </c:v>
                  </c:pt>
                  <c:pt idx="1065">
                    <c:v> 8,000 </c:v>
                  </c:pt>
                  <c:pt idx="1066">
                    <c:v> 30,000 </c:v>
                  </c:pt>
                  <c:pt idx="1067">
                    <c:v> 417,000 </c:v>
                  </c:pt>
                  <c:pt idx="1068">
                    <c:v> 80,000 </c:v>
                  </c:pt>
                  <c:pt idx="1069">
                    <c:v> 240,000 </c:v>
                  </c:pt>
                  <c:pt idx="1070">
                    <c:v> 3,000 </c:v>
                  </c:pt>
                  <c:pt idx="1071">
                    <c:v> 12,000 </c:v>
                  </c:pt>
                  <c:pt idx="1072">
                    <c:v> 20,000 </c:v>
                  </c:pt>
                  <c:pt idx="1073">
                    <c:v> 4,000 </c:v>
                  </c:pt>
                  <c:pt idx="1074">
                    <c:v> 30,000 </c:v>
                  </c:pt>
                  <c:pt idx="1075">
                    <c:v> 389,000 </c:v>
                  </c:pt>
                  <c:pt idx="1076">
                    <c:v> 150,000 </c:v>
                  </c:pt>
                  <c:pt idx="1077">
                    <c:v> 200,000 </c:v>
                  </c:pt>
                  <c:pt idx="1078">
                    <c:v> 3,000 </c:v>
                  </c:pt>
                  <c:pt idx="1079">
                    <c:v> 12,000 </c:v>
                  </c:pt>
                  <c:pt idx="1080">
                    <c:v> 20,000 </c:v>
                  </c:pt>
                  <c:pt idx="1081">
                    <c:v> 8,000 </c:v>
                  </c:pt>
                  <c:pt idx="1082">
                    <c:v> 30,000 </c:v>
                  </c:pt>
                  <c:pt idx="1083">
                    <c:v> 423,000 </c:v>
                  </c:pt>
                  <c:pt idx="1084">
                    <c:v> 140,000 </c:v>
                  </c:pt>
                  <c:pt idx="1085">
                    <c:v> 8,000 </c:v>
                  </c:pt>
                  <c:pt idx="1086">
                    <c:v> 240,000 </c:v>
                  </c:pt>
                  <c:pt idx="1087">
                    <c:v> 3,000 </c:v>
                  </c:pt>
                  <c:pt idx="1088">
                    <c:v> 12,000 </c:v>
                  </c:pt>
                  <c:pt idx="1089">
                    <c:v> 40,000 </c:v>
                  </c:pt>
                  <c:pt idx="1090">
                    <c:v> 30,000 </c:v>
                  </c:pt>
                  <c:pt idx="1091">
                    <c:v> 473,000 </c:v>
                  </c:pt>
                  <c:pt idx="1092">
                    <c:v> 40,000 </c:v>
                  </c:pt>
                  <c:pt idx="1093">
                    <c:v> 80,000 </c:v>
                  </c:pt>
                  <c:pt idx="1094">
                    <c:v> 4,000 </c:v>
                  </c:pt>
                  <c:pt idx="1095">
                    <c:v> 3,000 </c:v>
                  </c:pt>
                  <c:pt idx="1096">
                    <c:v> 8,000 </c:v>
                  </c:pt>
                  <c:pt idx="1097">
                    <c:v> 30,000 </c:v>
                  </c:pt>
                  <c:pt idx="1098">
                    <c:v> 165,000 </c:v>
                  </c:pt>
                  <c:pt idx="1099">
                    <c:v> 80,000 </c:v>
                  </c:pt>
                  <c:pt idx="1100">
                    <c:v> 4,000 </c:v>
                  </c:pt>
                  <c:pt idx="1101">
                    <c:v> 240,000 </c:v>
                  </c:pt>
                  <c:pt idx="1102">
                    <c:v> 3,000 </c:v>
                  </c:pt>
                  <c:pt idx="1103">
                    <c:v> 9,600 </c:v>
                  </c:pt>
                  <c:pt idx="1104">
                    <c:v> 20,000 </c:v>
                  </c:pt>
                  <c:pt idx="1105">
                    <c:v> 30,000 </c:v>
                  </c:pt>
                  <c:pt idx="1106">
                    <c:v> 386,600 </c:v>
                  </c:pt>
                  <c:pt idx="1107">
                    <c:v> 70,000 </c:v>
                  </c:pt>
                  <c:pt idx="1108">
                    <c:v> 4,000 </c:v>
                  </c:pt>
                  <c:pt idx="1109">
                    <c:v> 200,000 </c:v>
                  </c:pt>
                  <c:pt idx="1110">
                    <c:v> 3,400 </c:v>
                  </c:pt>
                  <c:pt idx="1111">
                    <c:v> 9,600 </c:v>
                  </c:pt>
                  <c:pt idx="1112">
                    <c:v> 20,000 </c:v>
                  </c:pt>
                  <c:pt idx="1113">
                    <c:v> 30,000 </c:v>
                  </c:pt>
                  <c:pt idx="1114">
                    <c:v> 337,000 </c:v>
                  </c:pt>
                  <c:pt idx="1115">
                    <c:v> 26,601,968 </c:v>
                  </c:pt>
                  <c:pt idx="1117">
                    <c:v>ارزش مجموعی</c:v>
                  </c:pt>
                  <c:pt idx="1118">
                    <c:v> 288,000 </c:v>
                  </c:pt>
                  <c:pt idx="1119">
                    <c:v> 720,000 </c:v>
                  </c:pt>
                  <c:pt idx="1120">
                    <c:v> 2,500,000 </c:v>
                  </c:pt>
                  <c:pt idx="1121">
                    <c:v> 2,147,680 </c:v>
                  </c:pt>
                  <c:pt idx="1122">
                    <c:v> 5,655,680 </c:v>
                  </c:pt>
                  <c:pt idx="1123">
                    <c:v>ارزش مجموعی</c:v>
                  </c:pt>
                  <c:pt idx="1124">
                    <c:v> 108,000 </c:v>
                  </c:pt>
                  <c:pt idx="1125">
                    <c:v> 1,080,000 </c:v>
                  </c:pt>
                  <c:pt idx="1126">
                    <c:v> 1,188,000 </c:v>
                  </c:pt>
                  <c:pt idx="1127">
                    <c:v>قیمت</c:v>
                  </c:pt>
                  <c:pt idx="1128">
                    <c:v> 984,420 </c:v>
                  </c:pt>
                  <c:pt idx="1129">
                    <c:v> 984,420 </c:v>
                  </c:pt>
                  <c:pt idx="1130">
                    <c:v> 7,828,100 </c:v>
                  </c:pt>
                  <c:pt idx="1132">
                    <c:v> 1,248,000 </c:v>
                  </c:pt>
                  <c:pt idx="1133">
                    <c:v> 1,083,110 </c:v>
                  </c:pt>
                  <c:pt idx="1134">
                    <c:v> 2,331,110 </c:v>
                  </c:pt>
                  <c:pt idx="1136">
                    <c:v>تاریخ آغاز</c:v>
                  </c:pt>
                  <c:pt idx="1137">
                    <c:v>1/10/1396</c:v>
                  </c:pt>
                  <c:pt idx="1138">
                    <c:v>1/10/1396</c:v>
                  </c:pt>
                  <c:pt idx="1139">
                    <c:v>1/10/1396</c:v>
                  </c:pt>
                  <c:pt idx="1140">
                    <c:v>1/10/1396</c:v>
                  </c:pt>
                  <c:pt idx="1141">
                    <c:v>1/10/1396</c:v>
                  </c:pt>
                  <c:pt idx="1142">
                    <c:v>1/10/1397</c:v>
                  </c:pt>
                </c:lvl>
                <c:lvl>
                  <c:pt idx="2">
                    <c:v>محصول</c:v>
                  </c:pt>
                  <c:pt idx="4">
                    <c:v>احیای 40 هکتار جنگلات پسته با بذر للمی و قروغ نمودن به کمک 8 پروژه عایداتی </c:v>
                  </c:pt>
                  <c:pt idx="5">
                    <c:v>خریداری تخم پسته برای بذر للمی </c:v>
                  </c:pt>
                  <c:pt idx="6">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8">
                    <c:v>محصول</c:v>
                  </c:pt>
                  <c:pt idx="9">
                    <c:v>احیای 50 هکتار جنگلات پسته با بذر للمی و قروغ نمودن به کمک 26 پروژه عایداتی.</c:v>
                  </c:pt>
                  <c:pt idx="10">
                    <c:v>خریداری تخم پسته برای بذر للمی </c:v>
                  </c:pt>
                  <c:pt idx="11">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13">
                    <c:v>محصول</c:v>
                  </c:pt>
                  <c:pt idx="14">
                    <c:v>احیای 20 هکتار جنگلات پسته با بذر للمی و قروغ نمودن به کمک 4 پروژه عایداتی.</c:v>
                  </c:pt>
                  <c:pt idx="15">
                    <c:v>خریداری تخم پسته برای بذر للمی </c:v>
                  </c:pt>
                  <c:pt idx="16">
                    <c:v>تنظیم ابریزه با اعمار 200متر مکعب چکدم و ابگردان از سنگ و مواد محلی در یکی ساحاتیکه تحت خطر سیلاب شدید قرار دارد یا ساحه که احیا میگردد. </c:v>
                  </c:pt>
                  <c:pt idx="1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19">
                    <c:v>محصول</c:v>
                  </c:pt>
                  <c:pt idx="20">
                    <c:v>احیای 20 هکتار جنگلات پسته با بذر للمی و قروغ نمودن به کمک 4 پروژه عایداتی.</c:v>
                  </c:pt>
                  <c:pt idx="21">
                    <c:v>تهیه و خریداری تخم پسته برای بذر </c:v>
                  </c:pt>
                  <c:pt idx="2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24">
                    <c:v>محصول</c:v>
                  </c:pt>
                  <c:pt idx="25">
                    <c:v>احیای 30 هکتار جنگلات پسته با بذر للمی و قروغ نمودن به کمک6 پروژه عایداتی.</c:v>
                  </c:pt>
                  <c:pt idx="26">
                    <c:v>تهیه و خریداری تخم پسته برای بذر </c:v>
                  </c:pt>
                  <c:pt idx="2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29">
                    <c:v>محصول</c:v>
                  </c:pt>
                  <c:pt idx="30">
                    <c:v>استخدام 2 نفر محافظ غرض حفاظت 10000 خریطه پلاستیکی از سال 1395</c:v>
                  </c:pt>
                  <c:pt idx="31">
                    <c:v>جالی با ملحفات آن برای تهیه سایه بان برای نوجست های جلغوزه </c:v>
                  </c:pt>
                  <c:pt idx="33">
                    <c:v>محصول</c:v>
                  </c:pt>
                  <c:pt idx="34">
                    <c:v>استخدام 1 نفر محافظ غرض حفاظت 10000 خریطه پلاستیکی از سال 1395</c:v>
                  </c:pt>
                  <c:pt idx="35">
                    <c:v>جالی با ملحفات آن برای تهیه سایه بان برای نوجست های جلغوزه </c:v>
                  </c:pt>
                  <c:pt idx="37">
                    <c:v>محصول</c:v>
                  </c:pt>
                  <c:pt idx="38">
                    <c:v>استخدام 1 نفر محافظ غرض حفاظت 10000 خریطه پلاستیکی از سال 1395</c:v>
                  </c:pt>
                  <c:pt idx="39">
                    <c:v>جالی با ملحفات آن برای تهیه سایه بان برای نوجست های جلغوزه </c:v>
                  </c:pt>
                  <c:pt idx="41">
                    <c:v>محصول</c:v>
                  </c:pt>
                  <c:pt idx="42">
                    <c:v>احیای و حفاظت 50 هکتار جلغوزه با بذر للمی به کمک 10 پروژه عایداتی.</c:v>
                  </c:pt>
                  <c:pt idx="43">
                    <c:v>خریداری تخم جلغوزه برای بذر مستقیم </c:v>
                  </c:pt>
                  <c:pt idx="44">
                    <c:v>تنظیم ابریزه ها با اعمار 200چکدم با مواد محلی در جای که خطر سیلاب متصور است.</c:v>
                  </c:pt>
                  <c:pt idx="45">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47">
                    <c:v>محصول</c:v>
                  </c:pt>
                  <c:pt idx="48">
                    <c:v>بذر للم و حفاظت ساحه 90 هکتار جنگلات طبیعی تخریب شده لمنز، نشتر، به کمک پروژه های عایداتی ( هر پروژه عایداتی برای 5 هکتار ساحه تخریب شده جدید و یک نفر محافظ) </c:v>
                  </c:pt>
                  <c:pt idx="49">
                    <c:v>خریداری تخم نشتر، لمنز، بلوط و اغور اسکی برای بذر للمی.</c:v>
                  </c:pt>
                  <c:pt idx="50">
                    <c:v>خریداری تخم چارمغز با کیفیت که قابلیت جوانه زدن را داشته باشد.</c:v>
                  </c:pt>
                  <c:pt idx="51">
                    <c:v>اعمار چکدم غرض حفاظت آب و خاک </c:v>
                  </c:pt>
                  <c:pt idx="5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54">
                    <c:v>محصول</c:v>
                  </c:pt>
                  <c:pt idx="55">
                    <c:v>احیای 20 هکتار بذر للمی بادام کوهی به کمک 4 پروژه عایداتی ( هر پروژه عایداتی برای یک نفر کارگر محافظ و 5 هکتار) </c:v>
                  </c:pt>
                  <c:pt idx="56">
                    <c:v>تهیه و خریداری تخم  بادام کوهی </c:v>
                  </c:pt>
                  <c:pt idx="5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59">
                    <c:v>محصول</c:v>
                  </c:pt>
                  <c:pt idx="60">
                    <c:v>احیای 30 هکتار بذر للمی بادام کوهی به کمک 6 پروژه عایداتی ( هر پروژه عایداتی برای یک نفر کارگر محافظ و 5 هکتار) </c:v>
                  </c:pt>
                  <c:pt idx="61">
                    <c:v>تهیه و خریداری تخم پسته.</c:v>
                  </c:pt>
                  <c:pt idx="6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64">
                    <c:v>محصول</c:v>
                  </c:pt>
                  <c:pt idx="65">
                    <c:v>استخدام 2 نفر متخصص در بخش ارتقای ظرفیت انجمن ها</c:v>
                  </c:pt>
                  <c:pt idx="66">
                    <c:v>سفریه و کرایه تیم فنی غرض سفر به ولایات غرض نظارت از امور پروژه ها.</c:v>
                  </c:pt>
                  <c:pt idx="70">
                    <c:v>فعالیت ها </c:v>
                  </c:pt>
                  <c:pt idx="72">
                    <c:v>شناسایی انجمن علفچر ونباتات طبی </c:v>
                  </c:pt>
                  <c:pt idx="73">
                    <c:v>تدویرورکشاپ اموزشهای تخنیکی وپلان سازی برای اعضای انجمن </c:v>
                  </c:pt>
                  <c:pt idx="74">
                    <c:v>احیایی علفچر طبیعی توسط قروغ ، تناوب چرا ، تنظیم حیوانات مواشی درساحه حصار شده 1396توسط انجمن </c:v>
                  </c:pt>
                  <c:pt idx="75">
                    <c:v>احیاء  علفچرتوسط بذر تخم علوفه </c:v>
                  </c:pt>
                  <c:pt idx="76">
                    <c:v>تهیه تخم علوفه برای موازی 60 هکتار فی هکتار 5 کیلوگرام </c:v>
                  </c:pt>
                  <c:pt idx="77">
                    <c:v>بذرپاشی و زیرخاک نمودن تخم علفوفه درساحات تخریب شده علفچر</c:v>
                  </c:pt>
                  <c:pt idx="78">
                    <c:v>احیاء نباتات طبی هنگ </c:v>
                  </c:pt>
                  <c:pt idx="79">
                    <c:v>حفر و اصلاح چاله ،نرم کاری خاک وبذرتخم هنگ </c:v>
                  </c:pt>
                  <c:pt idx="80">
                    <c:v>ابیاری توسط اب پاش </c:v>
                  </c:pt>
                  <c:pt idx="81">
                    <c:v>خریداری تخم هنگ </c:v>
                  </c:pt>
                  <c:pt idx="82">
                    <c:v>خریداری اب پاش </c:v>
                  </c:pt>
                  <c:pt idx="83">
                    <c:v>تهیه اب </c:v>
                  </c:pt>
                  <c:pt idx="84">
                    <c:v>مصارف اموزش انجمنها و نظارت از فعالیت های تطبیق شده پروژه </c:v>
                  </c:pt>
                  <c:pt idx="86">
                    <c:v>محصول</c:v>
                  </c:pt>
                  <c:pt idx="87">
                    <c:v>احیایی علفچر طبیعی توسط قروغ ، تناوب چرا ، تنظیم حیوانات مواشی درساحه حصار شده 1396توسط انجمن </c:v>
                  </c:pt>
                  <c:pt idx="88">
                    <c:v>استخدام کارمند فنی برای 9 ماه</c:v>
                  </c:pt>
                  <c:pt idx="89">
                    <c:v>استخدام  نگران برای 12ماه</c:v>
                  </c:pt>
                  <c:pt idx="90">
                    <c:v>تثبیت ریگ های روان </c:v>
                  </c:pt>
                  <c:pt idx="91">
                    <c:v>تهیه قلمه گز، تاغ وسکساول </c:v>
                  </c:pt>
                  <c:pt idx="92">
                    <c:v>غرس قلمه گز، تاغ وسکساول</c:v>
                  </c:pt>
                  <c:pt idx="93">
                    <c:v>کشیدن نهال ازمرکزارایه خدمات تنظیم علفچر</c:v>
                  </c:pt>
                  <c:pt idx="94">
                    <c:v>تهیه یکعراد ه زرنج برای انتقال قلمه و نهال ریشه گز، تاغ وسکساول درساحه </c:v>
                  </c:pt>
                  <c:pt idx="95">
                    <c:v>حفرچقرک برای غرس نهال ریشه </c:v>
                  </c:pt>
                  <c:pt idx="96">
                    <c:v>غرس نهال ریشه گز، تاغ وسکساول </c:v>
                  </c:pt>
                  <c:pt idx="97">
                    <c:v>تهیه آب برای آبیاری نهال بک مرتبه </c:v>
                  </c:pt>
                  <c:pt idx="98">
                    <c:v>آبیاری نهال های غرس شده یک مرتبه </c:v>
                  </c:pt>
                  <c:pt idx="99">
                    <c:v>آماده ساختن موازی 20 جریب زمین برای بذر تخم علوفه وغرس قلمه گز ، تاغ وسکساول درمرکزارایه خدمات تنظیم علفجر </c:v>
                  </c:pt>
                  <c:pt idx="100">
                    <c:v>تهیه تخم علوفه اگروپایرون</c:v>
                  </c:pt>
                  <c:pt idx="101">
                    <c:v>بذرتخم علوفه در قطار ( فاصله بین قطار 50 سانتی )</c:v>
                  </c:pt>
                  <c:pt idx="102">
                    <c:v>تهیه کود وسیاه وسفید </c:v>
                  </c:pt>
                  <c:pt idx="103">
                    <c:v>کارگر برای خیشاوه نمودن یک مراتبه </c:v>
                  </c:pt>
                  <c:pt idx="104">
                    <c:v>کارگر آبیاری و درو نمودن برای مدت 8 ماه </c:v>
                  </c:pt>
                  <c:pt idx="105">
                    <c:v>احیاء نباتات طبی هنگ </c:v>
                  </c:pt>
                  <c:pt idx="106">
                    <c:v>حفر و اصلاح چاله ،نرم کاری خاک وبذرتخم هنگ </c:v>
                  </c:pt>
                  <c:pt idx="107">
                    <c:v>ابیار توسط اب پاش </c:v>
                  </c:pt>
                  <c:pt idx="108">
                    <c:v>خریداری تخم هنگ </c:v>
                  </c:pt>
                  <c:pt idx="109">
                    <c:v>خریداری اب پاش </c:v>
                  </c:pt>
                  <c:pt idx="110">
                    <c:v>تهیه اب </c:v>
                  </c:pt>
                  <c:pt idx="111">
                    <c:v>تهیه روغنیات برای زرنج و واترپمپ</c:v>
                  </c:pt>
                  <c:pt idx="112">
                    <c:v>مصارف اموزش انجمنها و نظارت از فعالیت های تطبیق شده پروژه </c:v>
                  </c:pt>
                  <c:pt idx="114">
                    <c:v>محصول</c:v>
                  </c:pt>
                  <c:pt idx="115">
                    <c:v>شناسایی انجمن علفچر ونباتات طبی </c:v>
                  </c:pt>
                  <c:pt idx="116">
                    <c:v>تدویرورکشاپ اموزشهای تخنیکی وپلان سازی برای اعضای انجمن </c:v>
                  </c:pt>
                  <c:pt idx="117">
                    <c:v>احیایی علفچر طبیعی توسط قروغ ، تناوب چرا ، تنظیم حیوانات مواشی درساحه حصار شده 1396توسط انجمن </c:v>
                  </c:pt>
                  <c:pt idx="118">
                    <c:v>احیاء علفچراز طریق بذر تخم رشقه للمی </c:v>
                  </c:pt>
                  <c:pt idx="119">
                    <c:v>تهیه تخم رشقه للمی </c:v>
                  </c:pt>
                  <c:pt idx="120">
                    <c:v>بذرتخم رشقه للمی وزیر خاک نمودن </c:v>
                  </c:pt>
                  <c:pt idx="121">
                    <c:v>احیاء نباتات طبی هنگ </c:v>
                  </c:pt>
                  <c:pt idx="122">
                    <c:v>حفرواصلاح چاله ،نرم کاری خاک وبذرتخم هنگ </c:v>
                  </c:pt>
                  <c:pt idx="123">
                    <c:v>ابیاری توسط اب پاش </c:v>
                  </c:pt>
                  <c:pt idx="124">
                    <c:v>خریداری تخم هنگ </c:v>
                  </c:pt>
                  <c:pt idx="125">
                    <c:v>خریداری اب پاش </c:v>
                  </c:pt>
                  <c:pt idx="126">
                    <c:v>تهیه اب </c:v>
                  </c:pt>
                  <c:pt idx="127">
                    <c:v>مصارف اموزش انجمنها و نظارت از فعالیت های تطبیق شده پروژه </c:v>
                  </c:pt>
                  <c:pt idx="129">
                    <c:v>محصول</c:v>
                  </c:pt>
                  <c:pt idx="130">
                    <c:v>استخدام  نگران برای 12 ماه</c:v>
                  </c:pt>
                  <c:pt idx="131">
                    <c:v>تثبیت ریگ های روان </c:v>
                  </c:pt>
                  <c:pt idx="132">
                    <c:v>تهیه قلمه گز، تاغ وسکساول </c:v>
                  </c:pt>
                  <c:pt idx="133">
                    <c:v>غرس قلمه گز، تاغ وسکساول</c:v>
                  </c:pt>
                  <c:pt idx="134">
                    <c:v>کشیدن نهال ازمرکزارایه خدمات تنظیم علفچر</c:v>
                  </c:pt>
                  <c:pt idx="135">
                    <c:v>تهیه یکعراد ه زرنج برای انتقال قلمه و نهال ریشه گز، تاغ وسکساول درساحه </c:v>
                  </c:pt>
                  <c:pt idx="136">
                    <c:v>حفرچقرک برای غرس نهال ریشه </c:v>
                  </c:pt>
                  <c:pt idx="137">
                    <c:v>غرس نهال ریشه گز، تاغ وسکساول </c:v>
                  </c:pt>
                  <c:pt idx="138">
                    <c:v>تهیه آب برای آبیاری نهال بک مرتبه </c:v>
                  </c:pt>
                  <c:pt idx="139">
                    <c:v>آبیاری نهال های غرس شده یک مرتبه </c:v>
                  </c:pt>
                  <c:pt idx="140">
                    <c:v>آماده ساختن زمین برای بذر تخم علوفه وغرس قلمه گز</c:v>
                  </c:pt>
                  <c:pt idx="141">
                    <c:v>تهیه تخم علوفه اگروپایرون</c:v>
                  </c:pt>
                  <c:pt idx="142">
                    <c:v>بذرتخم علوفه در قطار ( فاصله بین قطار 50 سانتی )</c:v>
                  </c:pt>
                  <c:pt idx="143">
                    <c:v>تهیه کود وسیاه وسفید </c:v>
                  </c:pt>
                  <c:pt idx="144">
                    <c:v>کارگر برای خیشاوه نمودن برای یک مراتبه</c:v>
                  </c:pt>
                  <c:pt idx="145">
                    <c:v>کارگر آبیاری و درو نمودن برای مدت 8 ماه </c:v>
                  </c:pt>
                  <c:pt idx="146">
                    <c:v>احیاء نباتات طبی شیرین بویه</c:v>
                  </c:pt>
                  <c:pt idx="147">
                    <c:v>حفرواصلاح چاله ،نرم کاری خاک وغرس قلمه شیرین بویه </c:v>
                  </c:pt>
                  <c:pt idx="148">
                    <c:v>تهیه قلمه ریشه شیرین بویه ، توسط کارگران محلی </c:v>
                  </c:pt>
                  <c:pt idx="149">
                    <c:v>ابیاری توسط اب پاش </c:v>
                  </c:pt>
                  <c:pt idx="150">
                    <c:v>خریداری قیجی شاخه بری فیلکو</c:v>
                  </c:pt>
                  <c:pt idx="151">
                    <c:v>خریداری اب پاش </c:v>
                  </c:pt>
                  <c:pt idx="152">
                    <c:v>تهیه اب </c:v>
                  </c:pt>
                  <c:pt idx="153">
                    <c:v>کرایه انتقال قلمه ریشه شرین بویه </c:v>
                  </c:pt>
                  <c:pt idx="154">
                    <c:v>خریداری روغنیات زرنج  </c:v>
                  </c:pt>
                  <c:pt idx="155">
                    <c:v>مصارف اموزش انجمنها و نظارت از فعالیت های تطبیق شده پروژه </c:v>
                  </c:pt>
                  <c:pt idx="157">
                    <c:v>محصول</c:v>
                  </c:pt>
                  <c:pt idx="158">
                    <c:v>شناسایی انجمن علفچر ونباتات طبی </c:v>
                  </c:pt>
                  <c:pt idx="159">
                    <c:v>تدویرورکشاپ اموزشهای تخنیکی وپلان سازی برای اعضای انجمن </c:v>
                  </c:pt>
                  <c:pt idx="160">
                    <c:v>احیایی علفچر طبیعی توسط قروغ ، تناوب چرا ، تنظیم حیوانات مواشی درساحه حصار شده 1396توسط انجمن </c:v>
                  </c:pt>
                  <c:pt idx="161">
                    <c:v>احیاء علفچراز طریق بذر تخم رشقه للمی </c:v>
                  </c:pt>
                  <c:pt idx="162">
                    <c:v>تهیه تخم رشقه للمی </c:v>
                  </c:pt>
                  <c:pt idx="163">
                    <c:v>بذرتخم رشقه للمی </c:v>
                  </c:pt>
                  <c:pt idx="164">
                    <c:v>احیاء نباتات طبی هنگ </c:v>
                  </c:pt>
                  <c:pt idx="165">
                    <c:v>حفرواصلاح چاله ،نرم کاری خاک وبذرتخم هنگ </c:v>
                  </c:pt>
                  <c:pt idx="166">
                    <c:v>ابیاری توسط اب پاش </c:v>
                  </c:pt>
                  <c:pt idx="167">
                    <c:v>خریداری تخم هنگ </c:v>
                  </c:pt>
                  <c:pt idx="168">
                    <c:v>خریداری اب پاش </c:v>
                  </c:pt>
                  <c:pt idx="169">
                    <c:v>تهیه اب </c:v>
                  </c:pt>
                  <c:pt idx="170">
                    <c:v>مصارف اموزش انجمنها و نظارت از فعالیت های تطبیق شده پروژه </c:v>
                  </c:pt>
                  <c:pt idx="172">
                    <c:v>محصول</c:v>
                  </c:pt>
                  <c:pt idx="173">
                    <c:v>احیایی علفچر طبیعی توسط قروغ ، تناوب چرا ، تنظیم حیوانات مواشی درساحه حصار شده 1396توسط انجمن </c:v>
                  </c:pt>
                  <c:pt idx="174">
                    <c:v>استخدام کارمند فنی برای 9 ماه</c:v>
                  </c:pt>
                  <c:pt idx="175">
                    <c:v>استخدام  نگران برای 12 ماه</c:v>
                  </c:pt>
                  <c:pt idx="176">
                    <c:v>کارگر برای خیشاوه نمودن برای 1 مراتبه</c:v>
                  </c:pt>
                  <c:pt idx="177">
                    <c:v>کارگر آبیاری و درو نمودن برای مدت 8 ماه </c:v>
                  </c:pt>
                  <c:pt idx="178">
                    <c:v>مصارف اموزش انجمنها و نظارت از فعالیت های تطبیق شده پروژه </c:v>
                  </c:pt>
                  <c:pt idx="180">
                    <c:v>محصول</c:v>
                  </c:pt>
                  <c:pt idx="181">
                    <c:v>احیایی علفچر طبیعی توسط قروغ ، تناوب چرا ، تنظیم حیوانات مواشی درساحه حصار شده 1396توسط انجمن </c:v>
                  </c:pt>
                  <c:pt idx="182">
                    <c:v>استخدام  نگران برای 12ماه</c:v>
                  </c:pt>
                  <c:pt idx="183">
                    <c:v>کارگر آبیاری و درو نمودن برای مدت 8 ماه </c:v>
                  </c:pt>
                  <c:pt idx="184">
                    <c:v>کارگر برای خیشاوه نمودن برای یک  مراتبه</c:v>
                  </c:pt>
                  <c:pt idx="185">
                    <c:v>مصارف اموزش انجمنها و نظارت از فعالیت های تطبیق شده پروژه </c:v>
                  </c:pt>
                  <c:pt idx="187">
                    <c:v>محصول</c:v>
                  </c:pt>
                  <c:pt idx="188">
                    <c:v>استخدام کارمند فنی برای 9 ماه</c:v>
                  </c:pt>
                  <c:pt idx="189">
                    <c:v>استخدام  نگران برای 12ماه</c:v>
                  </c:pt>
                  <c:pt idx="190">
                    <c:v>شناسایی انجمن علفچر ونباتات طبی </c:v>
                  </c:pt>
                  <c:pt idx="191">
                    <c:v>تدویرورکشاپ اموزشهای تخنیکی وپلان سازی برای اعضای انجمن </c:v>
                  </c:pt>
                  <c:pt idx="192">
                    <c:v>تثبیت ریگ های روان </c:v>
                  </c:pt>
                  <c:pt idx="193">
                    <c:v>تهیه قلمه گز، تاغ وسکساول </c:v>
                  </c:pt>
                  <c:pt idx="194">
                    <c:v>غرس قلمه گز، تاغ وسکساول</c:v>
                  </c:pt>
                  <c:pt idx="195">
                    <c:v>کشیدن نهال ازمرکزارایه خدمات تنظیم علفچر</c:v>
                  </c:pt>
                  <c:pt idx="196">
                    <c:v>تهیه یکعراد ه زرنج برای انتقال قلمه و نهال ریشه گز، تاغ وسکساول درساحه </c:v>
                  </c:pt>
                  <c:pt idx="197">
                    <c:v>حفرچقرک برای غرس نهال ریشه </c:v>
                  </c:pt>
                  <c:pt idx="198">
                    <c:v>غرس نهال ریشه گز، تاغ وسکساول </c:v>
                  </c:pt>
                  <c:pt idx="199">
                    <c:v>تهیه آب برای آبیاری نهال یک مرتبه </c:v>
                  </c:pt>
                  <c:pt idx="200">
                    <c:v>آبیاری نهال های غرس شده یک مرتبه </c:v>
                  </c:pt>
                  <c:pt idx="201">
                    <c:v>آماده ساختن زمین برای بذر تخم علوفه وغرس قلمه گز</c:v>
                  </c:pt>
                  <c:pt idx="202">
                    <c:v>تهیه تخم علوفه اگروپایرون</c:v>
                  </c:pt>
                  <c:pt idx="203">
                    <c:v>بذرتخم علوفه در قطار ( فاصله بین قطار 50 سانتی )</c:v>
                  </c:pt>
                  <c:pt idx="204">
                    <c:v>تهیه کود وسیاه وسفید </c:v>
                  </c:pt>
                  <c:pt idx="205">
                    <c:v>کارگر برای خیشاوه نمودن برای 1  مراتبه</c:v>
                  </c:pt>
                  <c:pt idx="206">
                    <c:v>کارگر آبیاری و درو نمودن برای مدت 8 ماه </c:v>
                  </c:pt>
                  <c:pt idx="207">
                    <c:v>احیا وحفاظت نبات طبی هنگ</c:v>
                  </c:pt>
                  <c:pt idx="208">
                    <c:v>حفرو اصلاح چاله ، نرم کاری خاک ، وبذرتخم هنگ </c:v>
                  </c:pt>
                  <c:pt idx="209">
                    <c:v>تهیه اب </c:v>
                  </c:pt>
                  <c:pt idx="210">
                    <c:v>ابیاری توسط ابپاش</c:v>
                  </c:pt>
                  <c:pt idx="211">
                    <c:v>خریداری تخم هنگ </c:v>
                  </c:pt>
                  <c:pt idx="212">
                    <c:v>خریداری اب پاش </c:v>
                  </c:pt>
                  <c:pt idx="213">
                    <c:v>روغنیات زرنج </c:v>
                  </c:pt>
                  <c:pt idx="214">
                    <c:v>مصارف اموزش انجمنها و نظارت از فعالیت های تطبیق شده پروژه </c:v>
                  </c:pt>
                  <c:pt idx="216">
                    <c:v>محصول</c:v>
                  </c:pt>
                  <c:pt idx="217">
                    <c:v>استخدام  نگران برای 12ماه</c:v>
                  </c:pt>
                  <c:pt idx="218">
                    <c:v>احیایی علفچر طبیعی توسط قروغ ، تناوب چرا ، تنظیم حیوانات مواشی درساحه حصار شده 1396توسط انجمن </c:v>
                  </c:pt>
                  <c:pt idx="219">
                    <c:v>تثبیت ریگ های روان </c:v>
                  </c:pt>
                  <c:pt idx="220">
                    <c:v>تهیه قلمه گز، تاغ وسکساول </c:v>
                  </c:pt>
                  <c:pt idx="221">
                    <c:v>غرس قلمه گز، تاغ وسکساول</c:v>
                  </c:pt>
                  <c:pt idx="222">
                    <c:v>کشیدن نهال ازمرکزارایه خدمات تنظیم علفچر</c:v>
                  </c:pt>
                  <c:pt idx="223">
                    <c:v>تهیه یکعراد ه زرنج برای انتقال قلمه و نهال ریشه گز، تاغ وسکساول درساحه </c:v>
                  </c:pt>
                  <c:pt idx="224">
                    <c:v>حفرچقرک برای غرس نهال ریشه </c:v>
                  </c:pt>
                  <c:pt idx="225">
                    <c:v>غرس نهال ریشه گز، تاغ وسکساول </c:v>
                  </c:pt>
                  <c:pt idx="226">
                    <c:v>تهیه آب برای آبیاری نهال یک مرتبه </c:v>
                  </c:pt>
                  <c:pt idx="227">
                    <c:v>آبیاری نهال های غرس شده یک مرتبه </c:v>
                  </c:pt>
                  <c:pt idx="228">
                    <c:v>آماده ساختن زمین مراکز تکثیری برای بذر تخم علوفه وغرس قلمه</c:v>
                  </c:pt>
                  <c:pt idx="229">
                    <c:v>تهیه تخم علوفه اگروپایرون</c:v>
                  </c:pt>
                  <c:pt idx="230">
                    <c:v>بذرتخم علوفه در قطار درساحه 2 هکتارمرکزارایه خدمات تنظیم علفچر </c:v>
                  </c:pt>
                  <c:pt idx="231">
                    <c:v>تهیه کود وسیاه وسفید </c:v>
                  </c:pt>
                  <c:pt idx="232">
                    <c:v>کارگر برای خیشاوه نمودن برای 1 مراتبه</c:v>
                  </c:pt>
                  <c:pt idx="233">
                    <c:v>کارگر آبیاری و درو نمودن برای مدت 8 ماه </c:v>
                  </c:pt>
                  <c:pt idx="234">
                    <c:v>تهیه روغنیات برای زرنج</c:v>
                  </c:pt>
                  <c:pt idx="235">
                    <c:v>مصارف اموزش انجمنها و نظارت از فعالیت های تطبیق شده پروژه </c:v>
                  </c:pt>
                  <c:pt idx="237">
                    <c:v>محصول</c:v>
                  </c:pt>
                  <c:pt idx="238">
                    <c:v>شناسایی انجمن علفچر ونباتات طبی </c:v>
                  </c:pt>
                  <c:pt idx="239">
                    <c:v>تدویرورکشاپ اموزشهای تخنیکی وپلان سازی برای اعضای انجمن </c:v>
                  </c:pt>
                  <c:pt idx="240">
                    <c:v>احیاء موازی 100 هکتار علفچرتوسط بذر تخم علوفه </c:v>
                  </c:pt>
                  <c:pt idx="241">
                    <c:v>تهیه تخم علوفه برای موازی 100 هکتار فی هکتار 5 کیلوگرام </c:v>
                  </c:pt>
                  <c:pt idx="242">
                    <c:v>بذرپاشی و زیرخاک نمودن تخم علفوفه درساحات تخریب شده علفچر</c:v>
                  </c:pt>
                  <c:pt idx="243">
                    <c:v>مصارف اموزش انجمنها و نظارت از فعالیت های تطبیق شده پروژه </c:v>
                  </c:pt>
                  <c:pt idx="245">
                    <c:v>محصول</c:v>
                  </c:pt>
                  <c:pt idx="246">
                    <c:v>شناسایی انجمن علفچر ونباتات طبی </c:v>
                  </c:pt>
                  <c:pt idx="247">
                    <c:v>تدویرورکشاپ اموزشهای تخنیکی وپلان سازی برای اعضای انجمن </c:v>
                  </c:pt>
                  <c:pt idx="248">
                    <c:v>احیاء موازی 100 هکتار علفچرتوسط بذر تخم علوفه </c:v>
                  </c:pt>
                  <c:pt idx="249">
                    <c:v>تهیه تخم علوفه فی هکتار 5 کیلوگرام </c:v>
                  </c:pt>
                  <c:pt idx="250">
                    <c:v>بذرپاشی و زیرخاک نمودن تخم علفوفه درساحات تخریب شده علفچر</c:v>
                  </c:pt>
                  <c:pt idx="251">
                    <c:v>مصارف اموزش انجمنها و نظارت از فعالیت های تطبیق شده پروژه </c:v>
                  </c:pt>
                  <c:pt idx="253">
                    <c:v>محصول</c:v>
                  </c:pt>
                  <c:pt idx="254">
                    <c:v>شناسایی انجمن علفچر ونباتات طبی </c:v>
                  </c:pt>
                  <c:pt idx="255">
                    <c:v>تدویرورکشاپ اموزشهای تخنیکی وپلان سازی برای اعضای انجمن </c:v>
                  </c:pt>
                  <c:pt idx="256">
                    <c:v>احیاء موازی 100 هکتار علفچرتوسط بذر تخم علوفه </c:v>
                  </c:pt>
                  <c:pt idx="257">
                    <c:v>تهیه تخم علوفه برای موازی 100 هکتار فی هکتار 5 کیلوگرام </c:v>
                  </c:pt>
                  <c:pt idx="258">
                    <c:v>بذرپاشی و زیرخاک نمودن تخم علفوفه درساحات تخریب شده علفچر</c:v>
                  </c:pt>
                  <c:pt idx="259">
                    <c:v>مصارف اموزش انجمنها و نظارت از فعالیت های تطبیق شده پروژه </c:v>
                  </c:pt>
                  <c:pt idx="261">
                    <c:v>محصول</c:v>
                  </c:pt>
                  <c:pt idx="262">
                    <c:v>شناسایی انجمن علفچر ونباتات طبی </c:v>
                  </c:pt>
                  <c:pt idx="263">
                    <c:v>تدویرورکشاپ اموزشهای تخنیکی وپلان سازی برای اعضای انجمن </c:v>
                  </c:pt>
                  <c:pt idx="264">
                    <c:v>احیاء موازی 100 هکتار علفچرتوسط بذر تخم رشقه للمی </c:v>
                  </c:pt>
                  <c:pt idx="265">
                    <c:v>تهیه تخم رشقه برای موازی 100 هکتار </c:v>
                  </c:pt>
                  <c:pt idx="266">
                    <c:v>بذرپاشی و زیرخاک نمودن تخم رشقه للمی درساحات تخریب شده علفچر</c:v>
                  </c:pt>
                  <c:pt idx="267">
                    <c:v>مصارف اموزش انجمنها و نظارت از فعالیت های تطبیق شده پروژه </c:v>
                  </c:pt>
                  <c:pt idx="269">
                    <c:v>محصول</c:v>
                  </c:pt>
                  <c:pt idx="270">
                    <c:v>شناسایی انجمن علفچر ونباتات طبی </c:v>
                  </c:pt>
                  <c:pt idx="271">
                    <c:v>تدویرورکشاپ اموزشهای تخنیکی وپلان سازی برای اعضای انجمن </c:v>
                  </c:pt>
                  <c:pt idx="272">
                    <c:v>احیاء موازی 100 هکتار علفچرتوسط بذر تخم رشقه للمی </c:v>
                  </c:pt>
                  <c:pt idx="273">
                    <c:v>تهیه تخم علوفه برای موازی 100 هکتار </c:v>
                  </c:pt>
                  <c:pt idx="274">
                    <c:v>بذرپاشی و زیرخاک نمودن تخم رشقه للمی درساحات تخریب شده علفچر</c:v>
                  </c:pt>
                  <c:pt idx="275">
                    <c:v>احیاء نبات طبی هنگ </c:v>
                  </c:pt>
                  <c:pt idx="276">
                    <c:v>حفرواصلاح چاله ،نرم کاری خاک وبذرتخم هنگ </c:v>
                  </c:pt>
                  <c:pt idx="277">
                    <c:v>ابیاری توسط اب پاش </c:v>
                  </c:pt>
                  <c:pt idx="278">
                    <c:v>خریداری تخم هنگ </c:v>
                  </c:pt>
                  <c:pt idx="279">
                    <c:v>خریداری اب پاش </c:v>
                  </c:pt>
                  <c:pt idx="280">
                    <c:v>تهیه اب </c:v>
                  </c:pt>
                  <c:pt idx="281">
                    <c:v>مصارف اموزش انجمنها و نظارت از فعالیت های تطبیق شده پروژه </c:v>
                  </c:pt>
                  <c:pt idx="283">
                    <c:v>محصول</c:v>
                  </c:pt>
                  <c:pt idx="284">
                    <c:v>شناسایی انجمن علفچر ونباتات طبی </c:v>
                  </c:pt>
                  <c:pt idx="285">
                    <c:v>تدویرورکشاپ اموزشهای تخنیکی وپلان سازی برای اعضای انجمن </c:v>
                  </c:pt>
                  <c:pt idx="286">
                    <c:v>احیاء موازی 100 هکتار علفچرتوسط بذر تخم علوفه </c:v>
                  </c:pt>
                  <c:pt idx="287">
                    <c:v>تهیه تخم علوفه برای موازی 100 هکتار فی هکتار 5 کیلوگرام </c:v>
                  </c:pt>
                  <c:pt idx="288">
                    <c:v>بذرپاشی و زیرخاک نمودن تخم رشقه للمی درساحات تخریب شده علفچر</c:v>
                  </c:pt>
                  <c:pt idx="289">
                    <c:v>احیاء نباتات طبی هنگ </c:v>
                  </c:pt>
                  <c:pt idx="290">
                    <c:v>حفرواصلاح چاله ،نرم کاری خاک وبذرتخم هنگ </c:v>
                  </c:pt>
                  <c:pt idx="291">
                    <c:v>ابیاری توسط اب پاش </c:v>
                  </c:pt>
                  <c:pt idx="292">
                    <c:v>خریداری تخم هنگ </c:v>
                  </c:pt>
                  <c:pt idx="293">
                    <c:v>خریداری اب پاش </c:v>
                  </c:pt>
                  <c:pt idx="294">
                    <c:v>تهیه اب </c:v>
                  </c:pt>
                  <c:pt idx="295">
                    <c:v>مصارف اموزش انجمنها و نظارت از فعالیت های تطبیق شده پروژه </c:v>
                  </c:pt>
                  <c:pt idx="297">
                    <c:v>استخدام یک نفر متخصص علفچرها</c:v>
                  </c:pt>
                  <c:pt idx="298">
                    <c:v>تمدید قرارداد یک نفر متخصص نباتات طبی</c:v>
                  </c:pt>
                  <c:pt idx="302">
                    <c:v>محصول</c:v>
                  </c:pt>
                  <c:pt idx="303">
                    <c:v>آماده ساختن وپلات بندی یک  جریب زمین </c:v>
                  </c:pt>
                  <c:pt idx="304">
                    <c:v>خیشاوه کتمن کاری (3) جریب زمین برای 3 مرتبه </c:v>
                  </c:pt>
                  <c:pt idx="305">
                    <c:v>پاککاری جوی ها بطول (287) متر</c:v>
                  </c:pt>
                  <c:pt idx="306">
                    <c:v>تهیه(20) مترمکعب کمپوست </c:v>
                  </c:pt>
                  <c:pt idx="307">
                    <c:v>تراسپلانت (10000) اصله نهال </c:v>
                  </c:pt>
                  <c:pt idx="308">
                    <c:v>بذرساحه یک جریب زمین درساحه آذاد</c:v>
                  </c:pt>
                  <c:pt idx="309">
                    <c:v>مواد ،تجهیزات ،وسایل کاروروغنیات </c:v>
                  </c:pt>
                  <c:pt idx="311">
                    <c:v>آماده ساختن وپلات بندی 5 جریب زمین </c:v>
                  </c:pt>
                  <c:pt idx="312">
                    <c:v>خیشاوه کتمن کاری (3) جریب زمین برای 3 مرتبه </c:v>
                  </c:pt>
                  <c:pt idx="313">
                    <c:v>پاککاری جوی ها بطول (250) متر</c:v>
                  </c:pt>
                  <c:pt idx="314">
                    <c:v>تهیه(11) مترمکعب کمپوست </c:v>
                  </c:pt>
                  <c:pt idx="315">
                    <c:v>تراسپلانت (10000) اصله نهال </c:v>
                  </c:pt>
                  <c:pt idx="316">
                    <c:v>بذرساحه یک جریب زمین درساحه آذاد</c:v>
                  </c:pt>
                  <c:pt idx="317">
                    <c:v>مواد ،تجهیزات ،وسایل کاروروغنیات </c:v>
                  </c:pt>
                  <c:pt idx="319">
                    <c:v>آماده ساختن وپلات بندی 5 جریب زمین </c:v>
                  </c:pt>
                  <c:pt idx="320">
                    <c:v>بذرساحه یک جریب زمین درساحه آذاد</c:v>
                  </c:pt>
                  <c:pt idx="321">
                    <c:v>خیشاوه کتمن کاری (3) جریب زمین برای 3 مرتبه </c:v>
                  </c:pt>
                  <c:pt idx="322">
                    <c:v>پاککاری جوی ها بطول (500) متر</c:v>
                  </c:pt>
                  <c:pt idx="323">
                    <c:v>تهیه(20) مترمکعب کمپوست </c:v>
                  </c:pt>
                  <c:pt idx="324">
                    <c:v>تراسپلانت (10000) اصله نهال </c:v>
                  </c:pt>
                  <c:pt idx="325">
                    <c:v>مواد ،تجهیزات ،وسایل کاروروغنیات </c:v>
                  </c:pt>
                  <c:pt idx="327">
                    <c:v>آماده ساختن وپلات بندی 30 جریب زمین </c:v>
                  </c:pt>
                  <c:pt idx="328">
                    <c:v>احداث سرک های فرعی فارم </c:v>
                  </c:pt>
                  <c:pt idx="329">
                    <c:v>احداث جوی های  جدید بطول (500) متر</c:v>
                  </c:pt>
                  <c:pt idx="330">
                    <c:v>بذرساحه دو جریب زمین درساحه آذاد</c:v>
                  </c:pt>
                  <c:pt idx="331">
                    <c:v>مواد ،تجهیزات ،وسایل کاروروغنیات </c:v>
                  </c:pt>
                  <c:pt idx="332">
                    <c:v>اعماردیوار احاطه ، تعمیر ، چاه عمیق وفعالیت های تخنیکی قرارداد شده 1396</c:v>
                  </c:pt>
                  <c:pt idx="334">
                    <c:v>اماده ساختن وپلات بندی (4 )جریب زمین </c:v>
                  </c:pt>
                  <c:pt idx="335">
                    <c:v>بذرساحه یک جریب زمین درساحه آذاد</c:v>
                  </c:pt>
                  <c:pt idx="336">
                    <c:v>خیشاوه کتمن کاری (3) جریب زمین برای 3 مرتبه </c:v>
                  </c:pt>
                  <c:pt idx="337">
                    <c:v>پاککاری جوی ها بطول (250) متر</c:v>
                  </c:pt>
                  <c:pt idx="338">
                    <c:v>تهیه(12) مترمکعب کمپوست </c:v>
                  </c:pt>
                  <c:pt idx="339">
                    <c:v>مواد ،تجهیزات ،وسایل کاروروغنیات </c:v>
                  </c:pt>
                  <c:pt idx="340">
                    <c:v>ترمیم ذخیره آب  وشبکه آبیاری قوریه  فارم مره لاق </c:v>
                  </c:pt>
                  <c:pt idx="342">
                    <c:v>اماده ساختن وپلات بندی (4 )جریب زمین </c:v>
                  </c:pt>
                  <c:pt idx="343">
                    <c:v>خیشاوه کتمن کاری (5) جریب زمین برای 3 مرتبه </c:v>
                  </c:pt>
                  <c:pt idx="344">
                    <c:v>پاککاری جوی ها بطول (250) متر</c:v>
                  </c:pt>
                  <c:pt idx="345">
                    <c:v>تهیه(12) مترمکعب کمپوست </c:v>
                  </c:pt>
                  <c:pt idx="346">
                    <c:v>مواد ،تجهیزات ،وسایل کاروروغنیات </c:v>
                  </c:pt>
                  <c:pt idx="348">
                    <c:v>اماده سا ختن 20جریب زمین </c:v>
                  </c:pt>
                  <c:pt idx="349">
                    <c:v>بذرساحه دو جریب زمین درساحه آذاد</c:v>
                  </c:pt>
                  <c:pt idx="350">
                    <c:v>پرکاری (20000) خریطه پلاستیکی وبذرآن</c:v>
                  </c:pt>
                  <c:pt idx="351">
                    <c:v>خیشاوه کتمن کاری 7جریب زمین برای3 مرتبه </c:v>
                  </c:pt>
                  <c:pt idx="352">
                    <c:v>پاککاری جوی ها بطول (300) متر</c:v>
                  </c:pt>
                  <c:pt idx="353">
                    <c:v>تهیه(20) مترمکعب کمپوست </c:v>
                  </c:pt>
                  <c:pt idx="354">
                    <c:v>تراسپلانت (15000) اصله نهال </c:v>
                  </c:pt>
                  <c:pt idx="355">
                    <c:v>مواد ،تجهیزات ،وسایل کاروروغنیات </c:v>
                  </c:pt>
                  <c:pt idx="357">
                    <c:v>آماده ساختن وپلات بندی 3 جریب زمین </c:v>
                  </c:pt>
                  <c:pt idx="358">
                    <c:v>خیشاوه کتمن کاری (2) جریب زمین برای 3 مرتبه </c:v>
                  </c:pt>
                  <c:pt idx="359">
                    <c:v>پاککاری جوی ها بطول (300) متر</c:v>
                  </c:pt>
                  <c:pt idx="360">
                    <c:v>تهیه(15) مترمکعب کمپوست </c:v>
                  </c:pt>
                  <c:pt idx="361">
                    <c:v>بذرساحه یک جریب زمین درساحه آذاد</c:v>
                  </c:pt>
                  <c:pt idx="362">
                    <c:v>اعمار سیتم آبیاری فارم تاشلی گذر </c:v>
                  </c:pt>
                  <c:pt idx="363">
                    <c:v>مواد ،تجهیزات ،وسایل کاروروغنیات </c:v>
                  </c:pt>
                  <c:pt idx="365">
                    <c:v>آماده ساختن وپلات بندی 5 جریب زمین </c:v>
                  </c:pt>
                  <c:pt idx="366">
                    <c:v>بذرساحه یک جریب زمین درساحه آذاد</c:v>
                  </c:pt>
                  <c:pt idx="367">
                    <c:v>خیشاوه کتمن کاری (6) جریب زمین برای 3 مرتبه </c:v>
                  </c:pt>
                  <c:pt idx="368">
                    <c:v>پاککاری جوی ها بطول (300) متر</c:v>
                  </c:pt>
                  <c:pt idx="369">
                    <c:v>تهیه(15) مترمکعب کمپوست </c:v>
                  </c:pt>
                  <c:pt idx="370">
                    <c:v>تراسپلانت (20000) اصله نهال </c:v>
                  </c:pt>
                  <c:pt idx="371">
                    <c:v>مواد ،تجهیزات ،وسایل کاروروغنیات </c:v>
                  </c:pt>
                  <c:pt idx="373">
                    <c:v>اماده ساختن وپلات بندی (6 )جریب زمین </c:v>
                  </c:pt>
                  <c:pt idx="374">
                    <c:v>بذرساحه یک جریب زمین درساحه آذاد</c:v>
                  </c:pt>
                  <c:pt idx="375">
                    <c:v>پرکاری (20000) خریطه پلاستیکی وبذرآن</c:v>
                  </c:pt>
                  <c:pt idx="376">
                    <c:v>خیشاوه کتمن کاری (5) جریب زمین برای 3 مرتبه </c:v>
                  </c:pt>
                  <c:pt idx="377">
                    <c:v>پاککاری جوی ها بطول (300) متر</c:v>
                  </c:pt>
                  <c:pt idx="378">
                    <c:v>تهیه(12) مترمکعب کمپوست </c:v>
                  </c:pt>
                  <c:pt idx="379">
                    <c:v>تراسپلانت (20000) اصله نهال </c:v>
                  </c:pt>
                  <c:pt idx="380">
                    <c:v>مواد ،تجهیزات ،وسایل کاروروغنیات </c:v>
                  </c:pt>
                  <c:pt idx="382">
                    <c:v>اماده ساختن وپلات بندی (5)جریب زمین </c:v>
                  </c:pt>
                  <c:pt idx="383">
                    <c:v>بذرساحه یک جریب زمین درساحه آذاد</c:v>
                  </c:pt>
                  <c:pt idx="384">
                    <c:v>خیشاوه کتمن کاری (6) جریب زمین برای 3 مرتبه </c:v>
                  </c:pt>
                  <c:pt idx="385">
                    <c:v>پاککاری جوی ها بطول (300) متر</c:v>
                  </c:pt>
                  <c:pt idx="386">
                    <c:v>تهیه(20) مترمکعب کمپوست </c:v>
                  </c:pt>
                  <c:pt idx="387">
                    <c:v>تراسپلانت (10000) اصله نهال </c:v>
                  </c:pt>
                  <c:pt idx="388">
                    <c:v>مواد ،تجهیزات ،وسایل کاروروغنیات </c:v>
                  </c:pt>
                  <c:pt idx="390">
                    <c:v>اماده سا ختن10جریب زمین </c:v>
                  </c:pt>
                  <c:pt idx="391">
                    <c:v>بذرساحه یک جریب زمین درساحه آذاد</c:v>
                  </c:pt>
                  <c:pt idx="392">
                    <c:v>خیشاوه کتمن کاری (6) جریب زمین برای 3 مرتبه </c:v>
                  </c:pt>
                  <c:pt idx="393">
                    <c:v>پاککاری جوی ها بطول (250) متر</c:v>
                  </c:pt>
                  <c:pt idx="394">
                    <c:v>تهیه(25) مترمکعب کمپوست </c:v>
                  </c:pt>
                  <c:pt idx="395">
                    <c:v>حفریک حلقه چاه عمیق ونصب سولر</c:v>
                  </c:pt>
                  <c:pt idx="396">
                    <c:v>مواد ،تجهیزات ،وسایل کاروروغنیات </c:v>
                  </c:pt>
                  <c:pt idx="398">
                    <c:v>آماده ساختن وپلات بندی 6 جریب زمین </c:v>
                  </c:pt>
                  <c:pt idx="399">
                    <c:v>بذرساحه یک جریب زمین درساحه آذاد</c:v>
                  </c:pt>
                  <c:pt idx="400">
                    <c:v>خیشاوه کتمن کاری (6) جریب زمین برای 3 مرتبه </c:v>
                  </c:pt>
                  <c:pt idx="401">
                    <c:v>پرکاری (19000) خریطه پلاستیکی وبذرآن</c:v>
                  </c:pt>
                  <c:pt idx="402">
                    <c:v>پاککاری جوی ها بطول (300) متر</c:v>
                  </c:pt>
                  <c:pt idx="403">
                    <c:v>تهیه(11) مترمکعب کمپوست </c:v>
                  </c:pt>
                  <c:pt idx="404">
                    <c:v>تراسپلانت (10000) اصله نهال </c:v>
                  </c:pt>
                  <c:pt idx="405">
                    <c:v>حفریک حلقه چاه عمیق ونصب سولر</c:v>
                  </c:pt>
                  <c:pt idx="406">
                    <c:v>مواد ،تجهیزات ،وسایل کاروروغنیات </c:v>
                  </c:pt>
                  <c:pt idx="408">
                    <c:v>اماده سا ختن5جریب زمین </c:v>
                  </c:pt>
                  <c:pt idx="409">
                    <c:v>خیشاوه کتمن کاری (3) جریب زمین برای 3 مرتبه </c:v>
                  </c:pt>
                  <c:pt idx="410">
                    <c:v>پاککاری جوی ها بطول (250) متر</c:v>
                  </c:pt>
                  <c:pt idx="411">
                    <c:v>تهیه(15) مترمکعب کمپوست </c:v>
                  </c:pt>
                  <c:pt idx="412">
                    <c:v>بذرساحه یک جریب زمین درساحه آذاد</c:v>
                  </c:pt>
                  <c:pt idx="413">
                    <c:v>پرداخت پول سبز خانه قرارداد شده سال 1396</c:v>
                  </c:pt>
                  <c:pt idx="414">
                    <c:v>مواد ،تجهیزات ،وسایل کاروروغنیات </c:v>
                  </c:pt>
                  <c:pt idx="416">
                    <c:v>اماده سا ختن10جریب زمین </c:v>
                  </c:pt>
                  <c:pt idx="417">
                    <c:v>پاککاری جوی ها بطول (250) متر</c:v>
                  </c:pt>
                  <c:pt idx="418">
                    <c:v>تهیه(10) مترمکعب کمپوست </c:v>
                  </c:pt>
                  <c:pt idx="419">
                    <c:v>بذرساحه یک جریب زمین درساحه آذاد</c:v>
                  </c:pt>
                  <c:pt idx="420">
                    <c:v> نصب سیتم انرژی آفتابی یک حلقه چاه در قوریه تنی </c:v>
                  </c:pt>
                  <c:pt idx="421">
                    <c:v>مواد ،تجهیزات ،وسایل کاروروغنیات </c:v>
                  </c:pt>
                  <c:pt idx="423">
                    <c:v>اماده سا ختن 15جریب زمین </c:v>
                  </c:pt>
                  <c:pt idx="424">
                    <c:v>بذرساحه دو جریب زمین درساحه آذاد</c:v>
                  </c:pt>
                  <c:pt idx="425">
                    <c:v>پرکاری (40000) خریطه پلاستیکی وبذرآن</c:v>
                  </c:pt>
                  <c:pt idx="426">
                    <c:v>خیشاوه کتمن کاری 7جریب زمین برای3 مرتبه </c:v>
                  </c:pt>
                  <c:pt idx="427">
                    <c:v>پاککاری جوی ها بطول (300) متر</c:v>
                  </c:pt>
                  <c:pt idx="428">
                    <c:v>تهیه(20) مترمکعب کمپوست </c:v>
                  </c:pt>
                  <c:pt idx="429">
                    <c:v>تراسپلانت (15000) اصله نهال </c:v>
                  </c:pt>
                  <c:pt idx="430">
                    <c:v>حفر چقرک </c:v>
                  </c:pt>
                  <c:pt idx="431">
                    <c:v>نهال شانی نهال بانکس </c:v>
                  </c:pt>
                  <c:pt idx="432">
                    <c:v>آبیاری نهال های غرس شده برای یک مرتبه </c:v>
                  </c:pt>
                  <c:pt idx="433">
                    <c:v>تدویر ورکشاپ یک روزه برای 35 نفر کارمندان ریاست زراعت </c:v>
                  </c:pt>
                  <c:pt idx="434">
                    <c:v>آموزش کارمندان توسط ترینر</c:v>
                  </c:pt>
                  <c:pt idx="435">
                    <c:v>تهیه غذا ، قرطاسیه وسایر ضروریات ورکشاپ </c:v>
                  </c:pt>
                  <c:pt idx="436">
                    <c:v>خریداری نهال ریشه ئی بانکس وانتقال آن به ساحه </c:v>
                  </c:pt>
                  <c:pt idx="437">
                    <c:v>خریداری اجناس ووسایل وسایر ضروریات ازقبیل (متر ، بیل ، کلند کود سیاه وسفید ) وغیره </c:v>
                  </c:pt>
                  <c:pt idx="439">
                    <c:v>اماده ساختن وپلات بندی (4 )جریب زمین </c:v>
                  </c:pt>
                  <c:pt idx="440">
                    <c:v>خیشاوه کتمن کاری (3) جریب زمین برای 3 مرتبه </c:v>
                  </c:pt>
                  <c:pt idx="441">
                    <c:v>پاککاری جوی ها بطول (250) متر</c:v>
                  </c:pt>
                  <c:pt idx="442">
                    <c:v>تهیه(10) مترمکعب کمپوست </c:v>
                  </c:pt>
                  <c:pt idx="443">
                    <c:v>تراسپلانت (10000) اصله نهال </c:v>
                  </c:pt>
                  <c:pt idx="444">
                    <c:v>بذرساحه یک  جریب زمین درساحه آذاد</c:v>
                  </c:pt>
                  <c:pt idx="445">
                    <c:v>مواد ،تجهیزات ،وسایل کاروروغنیات </c:v>
                  </c:pt>
                  <c:pt idx="447">
                    <c:v>اماده ساختن وپلات بندی (4 )جریب زمین </c:v>
                  </c:pt>
                  <c:pt idx="448">
                    <c:v>پرکاری (30000) خریطه پلاستیکی وبذرآن</c:v>
                  </c:pt>
                  <c:pt idx="449">
                    <c:v>خیشاوه کتمن کاری (5) جریب زمین برای 3 مرتبه </c:v>
                  </c:pt>
                  <c:pt idx="450">
                    <c:v>پاککاری جوی ها بطول (300) متر</c:v>
                  </c:pt>
                  <c:pt idx="451">
                    <c:v>تهیه(15) مترمکعب کمپوست </c:v>
                  </c:pt>
                  <c:pt idx="452">
                    <c:v>تراسپلانت (10000) اصله نهال </c:v>
                  </c:pt>
                  <c:pt idx="453">
                    <c:v>بذرساحه یک   جریب زمین درساحه آذاد</c:v>
                  </c:pt>
                  <c:pt idx="454">
                    <c:v>مواد ،تجهیزات ،وسایل کاروروغنیات </c:v>
                  </c:pt>
                  <c:pt idx="456">
                    <c:v>اماده ساختن وپلات بندی (8 )جریب زمین </c:v>
                  </c:pt>
                  <c:pt idx="457">
                    <c:v>بذرساحه دو  جریب زمین درساحه آذاد</c:v>
                  </c:pt>
                  <c:pt idx="458">
                    <c:v>خیشاوه کتمن کاری (8) جریب زمین برای 3 مرتبه </c:v>
                  </c:pt>
                  <c:pt idx="459">
                    <c:v>پاککاری جوی ها بطول (350) متر</c:v>
                  </c:pt>
                  <c:pt idx="460">
                    <c:v>تهیه(15) مترمکعب کمپوست </c:v>
                  </c:pt>
                  <c:pt idx="461">
                    <c:v>تراسپلانت (30000) اصله نهال </c:v>
                  </c:pt>
                  <c:pt idx="462">
                    <c:v>مواد ،تجهیزات ،وسایل کاروروغنیات </c:v>
                  </c:pt>
                  <c:pt idx="464">
                    <c:v>اماده ساختن وپلات بندی (6 )جریب زمین </c:v>
                  </c:pt>
                  <c:pt idx="465">
                    <c:v>بذرساحه یک جریب زمین درساحه آذاد</c:v>
                  </c:pt>
                  <c:pt idx="466">
                    <c:v>پرکاری (20000) خریطه پلاستیکی وبذرآن</c:v>
                  </c:pt>
                  <c:pt idx="467">
                    <c:v>خیشاوه کتمن کاری (6) جریب زمین برای 3 مرتبه </c:v>
                  </c:pt>
                  <c:pt idx="468">
                    <c:v>پاککاری جوی ها بطول (300) متر</c:v>
                  </c:pt>
                  <c:pt idx="469">
                    <c:v>تهیه(20) مترمکعب کمپوست </c:v>
                  </c:pt>
                  <c:pt idx="470">
                    <c:v>تراسپلانت (15000) اصله نهال </c:v>
                  </c:pt>
                  <c:pt idx="471">
                    <c:v>مواد ،تجهیزات ،وسایل کاروروغنیات </c:v>
                  </c:pt>
                  <c:pt idx="473">
                    <c:v>آماده ساختن وپلات بندی6جریب زمین </c:v>
                  </c:pt>
                  <c:pt idx="474">
                    <c:v>خیشاوه کتمن کاری (5) جریب زمین برای 3 مرتبه </c:v>
                  </c:pt>
                  <c:pt idx="475">
                    <c:v>پاککاری جوی ها بطول (350) متر</c:v>
                  </c:pt>
                  <c:pt idx="476">
                    <c:v>تهیه(15) مترمکعب کمپوست </c:v>
                  </c:pt>
                  <c:pt idx="477">
                    <c:v>تراسپلانت (10000) اصله نهال </c:v>
                  </c:pt>
                  <c:pt idx="478">
                    <c:v>بذرساحه یک جریب زمین درساحه آذاد</c:v>
                  </c:pt>
                  <c:pt idx="479">
                    <c:v>مواد ،تجهیزات ،وسایل کاروروغنیات </c:v>
                  </c:pt>
                  <c:pt idx="481">
                    <c:v>آماده ساختن وپلات بندی10جریب زمین </c:v>
                  </c:pt>
                  <c:pt idx="482">
                    <c:v>خیشاوه کتمن کاری (6) جریب زمین برای 3 مرتبه </c:v>
                  </c:pt>
                  <c:pt idx="483">
                    <c:v>پاککاری جوی ها بطول (300) متر</c:v>
                  </c:pt>
                  <c:pt idx="484">
                    <c:v>تهیه(15) مترمکعب کمپوست </c:v>
                  </c:pt>
                  <c:pt idx="485">
                    <c:v>تراسپلانت (12000) اصله نهال </c:v>
                  </c:pt>
                  <c:pt idx="486">
                    <c:v>بذرساحه دو جریب زمین درساحه آذاد</c:v>
                  </c:pt>
                  <c:pt idx="487">
                    <c:v>مواد ،تجهیزات ،وسایل کاروروغنیات </c:v>
                  </c:pt>
                  <c:pt idx="489">
                    <c:v>آماده ساختن وپلات بندی8جریب زمین </c:v>
                  </c:pt>
                  <c:pt idx="490">
                    <c:v>خیشاوه کتمن کاری (6) جریب زمین برای 3 مرتبه </c:v>
                  </c:pt>
                  <c:pt idx="491">
                    <c:v>پاککاری جوی ها بطول (300) متر</c:v>
                  </c:pt>
                  <c:pt idx="492">
                    <c:v>تهیه(15) مترمکعب کمپوست </c:v>
                  </c:pt>
                  <c:pt idx="493">
                    <c:v>تراسپلانت (10000) اصله نهال </c:v>
                  </c:pt>
                  <c:pt idx="494">
                    <c:v>بذرساحه یک جریب زمین درساحه آذاد</c:v>
                  </c:pt>
                  <c:pt idx="495">
                    <c:v>مواد ،تجهیزات ،وسایل کاروروغنیات </c:v>
                  </c:pt>
                  <c:pt idx="497">
                    <c:v>آماده ساختن وپلات بندی15جریب زمین </c:v>
                  </c:pt>
                  <c:pt idx="498">
                    <c:v>خیشاوه کتمن کاری (5) جریب زمین برای 3 مرتبه </c:v>
                  </c:pt>
                  <c:pt idx="499">
                    <c:v>پاککاری جوی ها بطول (300) متر</c:v>
                  </c:pt>
                  <c:pt idx="500">
                    <c:v>تهیه(15) مترمکعب کمپوست </c:v>
                  </c:pt>
                  <c:pt idx="501">
                    <c:v>تراسپلانت (10000) اصله نهال </c:v>
                  </c:pt>
                  <c:pt idx="502">
                    <c:v>بذرساحه دو جریب زمین درساحه آذاد</c:v>
                  </c:pt>
                  <c:pt idx="503">
                    <c:v>مواد ،تجهیزات ،وسایل کاروروغنیات </c:v>
                  </c:pt>
                  <c:pt idx="505">
                    <c:v>آماده ساختن وپلات بندی15جریب زمین </c:v>
                  </c:pt>
                  <c:pt idx="506">
                    <c:v>بذرساحه دو جریب زمین درساحه آذاد</c:v>
                  </c:pt>
                  <c:pt idx="507">
                    <c:v>خیشاوه کتمن کاری (6) جریب زمین برای 3 مرتبه </c:v>
                  </c:pt>
                  <c:pt idx="508">
                    <c:v>پاککاری جوی ها بطول (350) متر</c:v>
                  </c:pt>
                  <c:pt idx="509">
                    <c:v>تهیه(15) مترمکعب کمپوست </c:v>
                  </c:pt>
                  <c:pt idx="510">
                    <c:v>تراسپلانت (20000) اصله نهال </c:v>
                  </c:pt>
                  <c:pt idx="511">
                    <c:v>مواد ،تجهیزات ،وسایل کاروروغنیات </c:v>
                  </c:pt>
                  <c:pt idx="513">
                    <c:v>آماده ساختن وپلات بندی 4 جریب زمین </c:v>
                  </c:pt>
                  <c:pt idx="514">
                    <c:v>خیشاوه کتمن کاری (2) جریب زمین برای 3 مرتبه </c:v>
                  </c:pt>
                  <c:pt idx="515">
                    <c:v>بذرساحه یک جریب زمین درساحه آذاد</c:v>
                  </c:pt>
                  <c:pt idx="516">
                    <c:v>پاککاری جوی ها بطول (300) متر</c:v>
                  </c:pt>
                  <c:pt idx="517">
                    <c:v>تهیه(10) مترمکعب کمپوست </c:v>
                  </c:pt>
                  <c:pt idx="518">
                    <c:v>مواد ،تجهیزات ،وسایل کاروروغنیات </c:v>
                  </c:pt>
                  <c:pt idx="520">
                    <c:v>آماده ساختن وپلات بندی 10جریب زمین </c:v>
                  </c:pt>
                  <c:pt idx="521">
                    <c:v>بذرساحه یک جریب زمین درساحه آذاد</c:v>
                  </c:pt>
                  <c:pt idx="522">
                    <c:v>خیشاوه کتمن کاری (6) جریب زمین برای 3 مرتبه </c:v>
                  </c:pt>
                  <c:pt idx="523">
                    <c:v>پاککاری جوی ها بطول (300) متر</c:v>
                  </c:pt>
                  <c:pt idx="524">
                    <c:v>تهیه(10) مترمکعب کمپوست </c:v>
                  </c:pt>
                  <c:pt idx="525">
                    <c:v>تراسپلانت (10000) اصله نهال </c:v>
                  </c:pt>
                  <c:pt idx="526">
                    <c:v>مواد ،تجهیزات ،وسایل کاروروغنیات </c:v>
                  </c:pt>
                  <c:pt idx="528">
                    <c:v>آماده ساختن وپلات بندی6.5 جریب زمین </c:v>
                  </c:pt>
                  <c:pt idx="529">
                    <c:v>بذرساحه یک جریب زمین درساحه آذاد</c:v>
                  </c:pt>
                  <c:pt idx="530">
                    <c:v>خیشاوه کتمن کاری (5) جریب زمین برای 3 مرتبه </c:v>
                  </c:pt>
                  <c:pt idx="531">
                    <c:v>پاککاری جوی ها بطول (333) متر</c:v>
                  </c:pt>
                  <c:pt idx="532">
                    <c:v>تهیه(20) مترمکعب کمپوست </c:v>
                  </c:pt>
                  <c:pt idx="533">
                    <c:v>تراسپلانت (11000) اصله نهال </c:v>
                  </c:pt>
                  <c:pt idx="534">
                    <c:v>مواد ،تجهیزات ،وسایل کاروروغنیات </c:v>
                  </c:pt>
                  <c:pt idx="538">
                    <c:v>محصول</c:v>
                  </c:pt>
                  <c:pt idx="539">
                    <c:v>موجودیت  صفا کار</c:v>
                  </c:pt>
                  <c:pt idx="540">
                    <c:v>موجودیت محافظین</c:v>
                  </c:pt>
                  <c:pt idx="541">
                    <c:v>موجودیت پیاده رو سنگفرش و پخته</c:v>
                  </c:pt>
                  <c:pt idx="542">
                    <c:v>موجودیت آب در کمپلکس</c:v>
                  </c:pt>
                  <c:pt idx="544">
                    <c:v>محصول</c:v>
                  </c:pt>
                  <c:pt idx="545">
                    <c:v>موجودیت سوپروایزر</c:v>
                  </c:pt>
                  <c:pt idx="546">
                    <c:v>موجودیت محافظین</c:v>
                  </c:pt>
                  <c:pt idx="548">
                    <c:v>محصول</c:v>
                  </c:pt>
                  <c:pt idx="549">
                    <c:v>موجودیت محافظین</c:v>
                  </c:pt>
                  <c:pt idx="553">
                    <c:v>تمدید قرارداد 1 نفر متخصص مدیریت تغیر   منابع طبیعی</c:v>
                  </c:pt>
                  <c:pt idx="554">
                    <c:v>مصارف اداری، نظارت، ارزیابی ومصارف احتمالی </c:v>
                  </c:pt>
                  <c:pt idx="557">
                    <c:v>قیمت  هربخش  به افغانی </c:v>
                  </c:pt>
                  <c:pt idx="558">
                    <c:v> 13,770,000 </c:v>
                  </c:pt>
                  <c:pt idx="559">
                    <c:v> 17,808,821 </c:v>
                  </c:pt>
                  <c:pt idx="560">
                    <c:v> 26,601,968 </c:v>
                  </c:pt>
                  <c:pt idx="561">
                    <c:v> 7,828,100 </c:v>
                  </c:pt>
                  <c:pt idx="562">
                    <c:v> 2,331,110 </c:v>
                  </c:pt>
                  <c:pt idx="563">
                    <c:v> 68,340,000 </c:v>
                  </c:pt>
                  <c:pt idx="576">
                    <c:v>تصدیق کننده</c:v>
                  </c:pt>
                  <c:pt idx="577">
                    <c:v> انجنیر فهیم الله ضیائی  </c:v>
                  </c:pt>
                  <c:pt idx="578">
                    <c:v>معین آبیاری ومنابع طبیعی </c:v>
                  </c:pt>
                </c:lvl>
                <c:lvl>
                  <c:pt idx="2">
                    <c:v>قریه</c:v>
                  </c:pt>
                  <c:pt idx="8">
                    <c:v>قریه</c:v>
                  </c:pt>
                  <c:pt idx="9">
                    <c:v>ده برنج ،خارستانلامان  </c:v>
                  </c:pt>
                  <c:pt idx="13">
                    <c:v>قریه</c:v>
                  </c:pt>
                  <c:pt idx="14">
                    <c:v>بادام دره ، خطایان ،جوی شیخ وقبر قاضی </c:v>
                  </c:pt>
                  <c:pt idx="19">
                    <c:v>قریه</c:v>
                  </c:pt>
                  <c:pt idx="24">
                    <c:v>قریه</c:v>
                  </c:pt>
                  <c:pt idx="25">
                    <c:v>حضرت سلطان </c:v>
                  </c:pt>
                  <c:pt idx="29">
                    <c:v>قریه</c:v>
                  </c:pt>
                  <c:pt idx="33">
                    <c:v>قریه</c:v>
                  </c:pt>
                  <c:pt idx="37">
                    <c:v>قریه</c:v>
                  </c:pt>
                  <c:pt idx="41">
                    <c:v>قریه</c:v>
                  </c:pt>
                  <c:pt idx="47">
                    <c:v>قریه</c:v>
                  </c:pt>
                  <c:pt idx="54">
                    <c:v>قریه</c:v>
                  </c:pt>
                  <c:pt idx="55">
                    <c:v>روی دره ،کرامان وآب دره </c:v>
                  </c:pt>
                  <c:pt idx="59">
                    <c:v>قریه</c:v>
                  </c:pt>
                  <c:pt idx="64">
                    <c:v>قریه</c:v>
                  </c:pt>
                  <c:pt idx="70">
                    <c:v>قریه</c:v>
                  </c:pt>
                  <c:pt idx="72">
                    <c:v>دره قاق وتنگانی </c:v>
                  </c:pt>
                  <c:pt idx="86">
                    <c:v>قریه</c:v>
                  </c:pt>
                  <c:pt idx="87">
                    <c:v>بوزارق</c:v>
                  </c:pt>
                  <c:pt idx="114">
                    <c:v>قریه</c:v>
                  </c:pt>
                  <c:pt idx="115">
                    <c:v>دشت امرود</c:v>
                  </c:pt>
                  <c:pt idx="129">
                    <c:v>قریه</c:v>
                  </c:pt>
                  <c:pt idx="157">
                    <c:v>قریه</c:v>
                  </c:pt>
                  <c:pt idx="158">
                    <c:v>حضرت سلطان ، دره شرق </c:v>
                  </c:pt>
                  <c:pt idx="172">
                    <c:v>قریه</c:v>
                  </c:pt>
                  <c:pt idx="173">
                    <c:v>بهائی ,بخارا، وسبزناله
</c:v>
                  </c:pt>
                  <c:pt idx="180">
                    <c:v>قریه</c:v>
                  </c:pt>
                  <c:pt idx="181">
                    <c:v>کاسی ،تیل بای، نظر،دهن قره باغی  </c:v>
                  </c:pt>
                  <c:pt idx="187">
                    <c:v>قریه</c:v>
                  </c:pt>
                  <c:pt idx="216">
                    <c:v>قریه</c:v>
                  </c:pt>
                  <c:pt idx="217">
                    <c:v>تورغندی وشه بخش</c:v>
                  </c:pt>
                  <c:pt idx="237">
                    <c:v>قریه</c:v>
                  </c:pt>
                  <c:pt idx="245">
                    <c:v>قریه</c:v>
                  </c:pt>
                  <c:pt idx="253">
                    <c:v>قریه</c:v>
                  </c:pt>
                  <c:pt idx="254">
                    <c:v>وریاچ</c:v>
                  </c:pt>
                  <c:pt idx="261">
                    <c:v>قریه</c:v>
                  </c:pt>
                  <c:pt idx="269">
                    <c:v>قریه</c:v>
                  </c:pt>
                  <c:pt idx="270">
                    <c:v>جوییخ وقبر قاضی </c:v>
                  </c:pt>
                  <c:pt idx="283">
                    <c:v>قریه</c:v>
                  </c:pt>
                  <c:pt idx="284">
                    <c:v>قرغن تو، وقریجا وسولای سه گانه</c:v>
                  </c:pt>
                  <c:pt idx="302">
                    <c:v>قریه</c:v>
                  </c:pt>
                  <c:pt idx="303">
                    <c:v>عقب ولسوالی </c:v>
                  </c:pt>
                  <c:pt idx="311">
                    <c:v>مرکز باغ جبل السراج</c:v>
                  </c:pt>
                  <c:pt idx="319">
                    <c:v>شوخی </c:v>
                  </c:pt>
                  <c:pt idx="327">
                    <c:v>دشت توپ</c:v>
                  </c:pt>
                  <c:pt idx="334">
                    <c:v>مره لاق ودشتک </c:v>
                  </c:pt>
                  <c:pt idx="342">
                    <c:v>شش پل</c:v>
                  </c:pt>
                  <c:pt idx="348">
                    <c:v>ده هدادی</c:v>
                  </c:pt>
                  <c:pt idx="357">
                    <c:v>تاشلی گذر</c:v>
                  </c:pt>
                  <c:pt idx="365">
                    <c:v>جنگل باغ شبرغان</c:v>
                  </c:pt>
                  <c:pt idx="373">
                    <c:v>کارته مامورین </c:v>
                  </c:pt>
                  <c:pt idx="382">
                    <c:v>جنگل باغ</c:v>
                  </c:pt>
                  <c:pt idx="390">
                    <c:v>باغ تیره </c:v>
                  </c:pt>
                  <c:pt idx="398">
                    <c:v>جنگل باغ </c:v>
                  </c:pt>
                  <c:pt idx="408">
                    <c:v>مرکز</c:v>
                  </c:pt>
                  <c:pt idx="416">
                    <c:v>مرکز ولسوالی </c:v>
                  </c:pt>
                  <c:pt idx="423">
                    <c:v>ولسوالی بهسود وفارم جدید </c:v>
                  </c:pt>
                  <c:pt idx="439">
                    <c:v>باغ قلعه سراج </c:v>
                  </c:pt>
                  <c:pt idx="447">
                    <c:v>مندکول</c:v>
                  </c:pt>
                  <c:pt idx="456">
                    <c:v>جنگل باغ پل پشتو</c:v>
                  </c:pt>
                  <c:pt idx="464">
                    <c:v>جنگل باغ شمالی</c:v>
                  </c:pt>
                  <c:pt idx="473">
                    <c:v>مرکز</c:v>
                  </c:pt>
                  <c:pt idx="481">
                    <c:v>فارم شگوفان </c:v>
                  </c:pt>
                  <c:pt idx="489">
                    <c:v>مرکز ولسوالی </c:v>
                  </c:pt>
                  <c:pt idx="497">
                    <c:v>باغ اختر</c:v>
                  </c:pt>
                  <c:pt idx="505">
                    <c:v>جنگل باغ  تالقان وچاه عمیق </c:v>
                  </c:pt>
                  <c:pt idx="513">
                    <c:v>مرکزترویجی</c:v>
                  </c:pt>
                  <c:pt idx="520">
                    <c:v>مرکز</c:v>
                  </c:pt>
                  <c:pt idx="528">
                    <c:v>مرکز</c:v>
                  </c:pt>
                  <c:pt idx="538">
                    <c:v>قریه</c:v>
                  </c:pt>
                  <c:pt idx="539">
                    <c:v>بند امیر</c:v>
                  </c:pt>
                  <c:pt idx="540">
                    <c:v>بند امیر</c:v>
                  </c:pt>
                  <c:pt idx="541">
                    <c:v>بند امیر</c:v>
                  </c:pt>
                  <c:pt idx="542">
                    <c:v>بند امیر</c:v>
                  </c:pt>
                  <c:pt idx="544">
                    <c:v>قریه</c:v>
                  </c:pt>
                  <c:pt idx="545">
                    <c:v>پارک ملی واخان</c:v>
                  </c:pt>
                  <c:pt idx="546">
                    <c:v>پارک ملی واخان</c:v>
                  </c:pt>
                  <c:pt idx="548">
                    <c:v>قریه</c:v>
                  </c:pt>
                  <c:pt idx="549">
                    <c:v>کول حشمت خان</c:v>
                  </c:pt>
                  <c:pt idx="553">
                    <c:v>مرکز </c:v>
                  </c:pt>
                  <c:pt idx="554">
                    <c:v>مرکز </c:v>
                  </c:pt>
                  <c:pt idx="565">
                    <c:v>وظیفه</c:v>
                  </c:pt>
                  <c:pt idx="566">
                    <c:v>امرتنظیم جنگلات وابریزه ها </c:v>
                  </c:pt>
                  <c:pt idx="567">
                    <c:v>امر احیا وتوسعه جنگلات </c:v>
                  </c:pt>
                  <c:pt idx="568">
                    <c:v>امرتنظیم علفچرها </c:v>
                  </c:pt>
                  <c:pt idx="569">
                    <c:v>مدیر پارک های ملی</c:v>
                  </c:pt>
                  <c:pt idx="571">
                    <c:v>رئیس جنگلات</c:v>
                  </c:pt>
                  <c:pt idx="572">
                    <c:v>رئیس علفچر ها</c:v>
                  </c:pt>
                  <c:pt idx="573">
                    <c:v>رئیس ساحات حفاظت شده </c:v>
                  </c:pt>
                  <c:pt idx="575">
                    <c:v>مدیر عمومی پلان و هماهنگی پروژه ها</c:v>
                  </c:pt>
                </c:lvl>
                <c:lvl>
                  <c:pt idx="2">
                    <c:v>ولسوالی</c:v>
                  </c:pt>
                  <c:pt idx="4">
                    <c:v>کشک کهنه </c:v>
                  </c:pt>
                  <c:pt idx="8">
                    <c:v>ولسوالی</c:v>
                  </c:pt>
                  <c:pt idx="9">
                    <c:v>قادس ،مقر مرکز </c:v>
                  </c:pt>
                  <c:pt idx="13">
                    <c:v>ولسوالی</c:v>
                  </c:pt>
                  <c:pt idx="14">
                    <c:v>نمک آب وبهارک </c:v>
                  </c:pt>
                  <c:pt idx="19">
                    <c:v>ولسوالی</c:v>
                  </c:pt>
                  <c:pt idx="20">
                    <c:v>ارگو، درایم</c:v>
                  </c:pt>
                  <c:pt idx="24">
                    <c:v>ولسوالی</c:v>
                  </c:pt>
                  <c:pt idx="25">
                    <c:v>مرکز </c:v>
                  </c:pt>
                  <c:pt idx="29">
                    <c:v>ولسوالی</c:v>
                  </c:pt>
                  <c:pt idx="30">
                    <c:v>مرکز</c:v>
                  </c:pt>
                  <c:pt idx="33">
                    <c:v>ولسوالی</c:v>
                  </c:pt>
                  <c:pt idx="34">
                    <c:v>مرکز</c:v>
                  </c:pt>
                  <c:pt idx="37">
                    <c:v>ولسوالی</c:v>
                  </c:pt>
                  <c:pt idx="38">
                    <c:v>مرکز </c:v>
                  </c:pt>
                  <c:pt idx="41">
                    <c:v>ولسوالی</c:v>
                  </c:pt>
                  <c:pt idx="42">
                    <c:v>ازره </c:v>
                  </c:pt>
                  <c:pt idx="47">
                    <c:v>ولسوالی</c:v>
                  </c:pt>
                  <c:pt idx="48">
                    <c:v>مانوگی، وته پور، و دانگام </c:v>
                  </c:pt>
                  <c:pt idx="54">
                    <c:v>ولسوالی</c:v>
                  </c:pt>
                  <c:pt idx="55">
                    <c:v>شتل ، دره وعنابه </c:v>
                  </c:pt>
                  <c:pt idx="59">
                    <c:v>ولسوالی</c:v>
                  </c:pt>
                  <c:pt idx="60">
                    <c:v>مرکز </c:v>
                  </c:pt>
                  <c:pt idx="64">
                    <c:v>ولسوالی</c:v>
                  </c:pt>
                  <c:pt idx="65">
                    <c:v>مرکز</c:v>
                  </c:pt>
                  <c:pt idx="70">
                    <c:v>ولسوالی</c:v>
                  </c:pt>
                  <c:pt idx="72">
                    <c:v>درایم وکشکان</c:v>
                  </c:pt>
                  <c:pt idx="86">
                    <c:v>ولسوالی</c:v>
                  </c:pt>
                  <c:pt idx="87">
                    <c:v>شورتپه ،چمتال، دهداتی</c:v>
                  </c:pt>
                  <c:pt idx="114">
                    <c:v>ولسوالی</c:v>
                  </c:pt>
                  <c:pt idx="115">
                    <c:v>خنجان </c:v>
                  </c:pt>
                  <c:pt idx="129">
                    <c:v>ولسوالی</c:v>
                  </c:pt>
                  <c:pt idx="130">
                    <c:v>مرکز ، قرقین </c:v>
                  </c:pt>
                  <c:pt idx="157">
                    <c:v>ولسوالی</c:v>
                  </c:pt>
                  <c:pt idx="158">
                    <c:v>مرکز، خرم سارباغ،حضرت سلطان </c:v>
                  </c:pt>
                  <c:pt idx="172">
                    <c:v>ولسوالی</c:v>
                  </c:pt>
                  <c:pt idx="173">
                    <c:v>ناهور</c:v>
                  </c:pt>
                  <c:pt idx="180">
                    <c:v>ولسوالی</c:v>
                  </c:pt>
                  <c:pt idx="181">
                    <c:v>مرکز, دولتیارولعل </c:v>
                  </c:pt>
                  <c:pt idx="187">
                    <c:v>ولسوالی</c:v>
                  </c:pt>
                  <c:pt idx="188">
                    <c:v>اندخوی</c:v>
                  </c:pt>
                  <c:pt idx="216">
                    <c:v>ولسوالی</c:v>
                  </c:pt>
                  <c:pt idx="217">
                    <c:v>غوریان وربات سنگی </c:v>
                  </c:pt>
                  <c:pt idx="237">
                    <c:v>ولسوالی</c:v>
                  </c:pt>
                  <c:pt idx="238">
                    <c:v>قلعه نو </c:v>
                  </c:pt>
                  <c:pt idx="245">
                    <c:v>ولسوالی</c:v>
                  </c:pt>
                  <c:pt idx="246">
                    <c:v>خدر وسنگ تخت </c:v>
                  </c:pt>
                  <c:pt idx="253">
                    <c:v>ولسوالی</c:v>
                  </c:pt>
                  <c:pt idx="254">
                    <c:v> پریان </c:v>
                  </c:pt>
                  <c:pt idx="261">
                    <c:v>ولسوالی</c:v>
                  </c:pt>
                  <c:pt idx="262">
                    <c:v>حصله اول بهسود</c:v>
                  </c:pt>
                  <c:pt idx="269">
                    <c:v>ولسوالی</c:v>
                  </c:pt>
                  <c:pt idx="270">
                    <c:v>مرکز </c:v>
                  </c:pt>
                  <c:pt idx="283">
                    <c:v>ولسوالی</c:v>
                  </c:pt>
                  <c:pt idx="284">
                    <c:v> مرکز ،سیغان،ورس وکه مرد</c:v>
                  </c:pt>
                  <c:pt idx="297">
                    <c:v>مرکز</c:v>
                  </c:pt>
                  <c:pt idx="302">
                    <c:v>ولسوالی</c:v>
                  </c:pt>
                  <c:pt idx="303">
                    <c:v>استالف </c:v>
                  </c:pt>
                  <c:pt idx="311">
                    <c:v>ولسوالی جبل السراج </c:v>
                  </c:pt>
                  <c:pt idx="319">
                    <c:v>مرکز</c:v>
                  </c:pt>
                  <c:pt idx="327">
                    <c:v>ولسوالی سید آباد</c:v>
                  </c:pt>
                  <c:pt idx="334">
                    <c:v>رخه ومرکز </c:v>
                  </c:pt>
                  <c:pt idx="342">
                    <c:v>مرکز </c:v>
                  </c:pt>
                  <c:pt idx="348">
                    <c:v>مرکز ولسوالی بلخ </c:v>
                  </c:pt>
                  <c:pt idx="357">
                    <c:v>مرکز </c:v>
                  </c:pt>
                  <c:pt idx="365">
                    <c:v>مرکز</c:v>
                  </c:pt>
                  <c:pt idx="373">
                    <c:v>مرکز </c:v>
                  </c:pt>
                  <c:pt idx="382">
                    <c:v>مرکز </c:v>
                  </c:pt>
                  <c:pt idx="390">
                    <c:v>مرکز</c:v>
                  </c:pt>
                  <c:pt idx="398">
                    <c:v>مرکز</c:v>
                  </c:pt>
                  <c:pt idx="408">
                    <c:v>مرکز </c:v>
                  </c:pt>
                  <c:pt idx="416">
                    <c:v>تنی </c:v>
                  </c:pt>
                  <c:pt idx="423">
                    <c:v>ولسوالی بهسود وفارم جدید </c:v>
                  </c:pt>
                  <c:pt idx="439">
                    <c:v>مرکز </c:v>
                  </c:pt>
                  <c:pt idx="447">
                    <c:v>مرکز </c:v>
                  </c:pt>
                  <c:pt idx="456">
                    <c:v>گذره </c:v>
                  </c:pt>
                  <c:pt idx="464">
                    <c:v>مرکز</c:v>
                  </c:pt>
                  <c:pt idx="473">
                    <c:v>مرکز </c:v>
                  </c:pt>
                  <c:pt idx="481">
                    <c:v>مرکز </c:v>
                  </c:pt>
                  <c:pt idx="489">
                    <c:v>کشم </c:v>
                  </c:pt>
                  <c:pt idx="497">
                    <c:v>بغلان جدید </c:v>
                  </c:pt>
                  <c:pt idx="505">
                    <c:v>مرکز</c:v>
                  </c:pt>
                  <c:pt idx="513">
                    <c:v>ژیری</c:v>
                  </c:pt>
                  <c:pt idx="520">
                    <c:v>مرکز</c:v>
                  </c:pt>
                  <c:pt idx="528">
                    <c:v>شهرستان  </c:v>
                  </c:pt>
                  <c:pt idx="538">
                    <c:v>ولسوالی</c:v>
                  </c:pt>
                  <c:pt idx="539">
                    <c:v>یکاولنگ</c:v>
                  </c:pt>
                  <c:pt idx="540">
                    <c:v>یکاولنگ</c:v>
                  </c:pt>
                  <c:pt idx="541">
                    <c:v>یکاولنگ</c:v>
                  </c:pt>
                  <c:pt idx="542">
                    <c:v>یکاولنگ</c:v>
                  </c:pt>
                  <c:pt idx="543">
                    <c:v>مجموع فرعی </c:v>
                  </c:pt>
                  <c:pt idx="544">
                    <c:v>ولسوالی</c:v>
                  </c:pt>
                  <c:pt idx="545">
                    <c:v>واخان</c:v>
                  </c:pt>
                  <c:pt idx="546">
                    <c:v>واخان</c:v>
                  </c:pt>
                  <c:pt idx="547">
                    <c:v>مجموع فرعی </c:v>
                  </c:pt>
                  <c:pt idx="548">
                    <c:v>ولسوالی</c:v>
                  </c:pt>
                  <c:pt idx="549">
                    <c:v>بگرامی</c:v>
                  </c:pt>
                  <c:pt idx="550">
                    <c:v>مجموع فرعی </c:v>
                  </c:pt>
                  <c:pt idx="553">
                    <c:v>مرکز </c:v>
                  </c:pt>
                  <c:pt idx="554">
                    <c:v>مرکز </c:v>
                  </c:pt>
                  <c:pt idx="555">
                    <c:v>مجموع فرعی </c:v>
                  </c:pt>
                  <c:pt idx="558">
                    <c:v>احیاء و حفاظت جنگلات، تنظیم آبریزه ها زنجیره ارزش افزایی محصولات</c:v>
                  </c:pt>
                  <c:pt idx="559">
                    <c:v>تنظیم همه جانبه علفچر ها و نباتات طبی</c:v>
                  </c:pt>
                  <c:pt idx="560">
                    <c:v>احیای فارم ها و جنگل باغ ها غرض گسترش فضای سبز</c:v>
                  </c:pt>
                  <c:pt idx="561">
                    <c:v>انکشاف ایکوسیستم های طبیعی با ارزش</c:v>
                  </c:pt>
                  <c:pt idx="562">
                    <c:v>  معاش 2 نفر متخصص ،نظارت ،ارزیابی  از فعالیت های برنامه  ملی منابع طبیعی ومصارف احتمالی </c:v>
                  </c:pt>
                  <c:pt idx="566">
                    <c:v> سید امین الله فخری </c:v>
                  </c:pt>
                  <c:pt idx="567">
                    <c:v>احمد شاه امرخیل </c:v>
                  </c:pt>
                  <c:pt idx="568">
                    <c:v>غلام دستگیر سروری </c:v>
                  </c:pt>
                  <c:pt idx="569">
                    <c:v>عبدالقیوم پاینده</c:v>
                  </c:pt>
                  <c:pt idx="571">
                    <c:v>محمد امان امانیار</c:v>
                  </c:pt>
                  <c:pt idx="572">
                    <c:v>انجنیر محمد عارف حسینی</c:v>
                  </c:pt>
                  <c:pt idx="573">
                    <c:v>سید رحمن زیارمل </c:v>
                  </c:pt>
                  <c:pt idx="575">
                    <c:v>رفاع الدین امینی</c:v>
                  </c:pt>
                  <c:pt idx="576">
                    <c:v>تصدیق کننده</c:v>
                  </c:pt>
                  <c:pt idx="577">
                    <c:v>محمد رفیع قاضی زاده</c:v>
                  </c:pt>
                  <c:pt idx="578">
                    <c:v>رئیس عمومی منابع طبیعی</c:v>
                  </c:pt>
                </c:lvl>
                <c:lvl>
                  <c:pt idx="0">
                    <c:v>ضمیمه 3: پلان کاری سالانه برنامه برای سال 1397</c:v>
                  </c:pt>
                  <c:pt idx="1">
                    <c:v>الف: احیاء و حفاظت جنگلات، تنظیم آبریزه ها و زنجیره ارزش افزایی محصولات جنگل</c:v>
                  </c:pt>
                  <c:pt idx="2">
                    <c:v>ولایات</c:v>
                  </c:pt>
                  <c:pt idx="4">
                    <c:v>هرات </c:v>
                  </c:pt>
                  <c:pt idx="7">
                    <c:v>مجموع فرعی </c:v>
                  </c:pt>
                  <c:pt idx="8">
                    <c:v>ولایات</c:v>
                  </c:pt>
                  <c:pt idx="9">
                    <c:v>بادغیس </c:v>
                  </c:pt>
                  <c:pt idx="12">
                    <c:v>مجموع فرعی </c:v>
                  </c:pt>
                  <c:pt idx="13">
                    <c:v>ولایات</c:v>
                  </c:pt>
                  <c:pt idx="14">
                    <c:v>تخار </c:v>
                  </c:pt>
                  <c:pt idx="18">
                    <c:v>مجموع فرعی </c:v>
                  </c:pt>
                  <c:pt idx="19">
                    <c:v>ولایات</c:v>
                  </c:pt>
                  <c:pt idx="20">
                    <c:v>بدخشان </c:v>
                  </c:pt>
                  <c:pt idx="23">
                    <c:v>مجموع فرعی </c:v>
                  </c:pt>
                  <c:pt idx="24">
                    <c:v>ولایات</c:v>
                  </c:pt>
                  <c:pt idx="25">
                    <c:v>سمنگان </c:v>
                  </c:pt>
                  <c:pt idx="28">
                    <c:v>مجموع فرعی </c:v>
                  </c:pt>
                  <c:pt idx="29">
                    <c:v>ولایات</c:v>
                  </c:pt>
                  <c:pt idx="30">
                    <c:v>پکتیا </c:v>
                  </c:pt>
                  <c:pt idx="32">
                    <c:v>مجموع فرعی </c:v>
                  </c:pt>
                  <c:pt idx="33">
                    <c:v>ولایات</c:v>
                  </c:pt>
                  <c:pt idx="34">
                    <c:v>پکتیکا </c:v>
                  </c:pt>
                  <c:pt idx="36">
                    <c:v>مجموع فرعی </c:v>
                  </c:pt>
                  <c:pt idx="37">
                    <c:v>ولایات</c:v>
                  </c:pt>
                  <c:pt idx="38">
                    <c:v>خوست </c:v>
                  </c:pt>
                  <c:pt idx="40">
                    <c:v>مجموع فرعی </c:v>
                  </c:pt>
                  <c:pt idx="41">
                    <c:v>ولایات</c:v>
                  </c:pt>
                  <c:pt idx="42">
                    <c:v>لوگر </c:v>
                  </c:pt>
                  <c:pt idx="46">
                    <c:v>مجموع فرعی </c:v>
                  </c:pt>
                  <c:pt idx="47">
                    <c:v>ولایات</c:v>
                  </c:pt>
                  <c:pt idx="48">
                    <c:v>کنر </c:v>
                  </c:pt>
                  <c:pt idx="53">
                    <c:v>مجموع فرعی </c:v>
                  </c:pt>
                  <c:pt idx="54">
                    <c:v>ولایات</c:v>
                  </c:pt>
                  <c:pt idx="55">
                    <c:v>پنجشیر </c:v>
                  </c:pt>
                  <c:pt idx="58">
                    <c:v>مجموع فرعی </c:v>
                  </c:pt>
                  <c:pt idx="59">
                    <c:v>ولایات</c:v>
                  </c:pt>
                  <c:pt idx="60">
                    <c:v>دایکندی </c:v>
                  </c:pt>
                  <c:pt idx="63">
                    <c:v>مجموع فرعی </c:v>
                  </c:pt>
                  <c:pt idx="64">
                    <c:v>ولایات</c:v>
                  </c:pt>
                  <c:pt idx="65">
                    <c:v>مرکز </c:v>
                  </c:pt>
                  <c:pt idx="67">
                    <c:v>مجموع فرعی </c:v>
                  </c:pt>
                  <c:pt idx="68">
                    <c:v>مجموعی عمومی تنظیم جنگلات و آبریزه ها</c:v>
                  </c:pt>
                  <c:pt idx="69">
                    <c:v>ج : تنظیم همه جانبه علفچر ونباتات طبی سال 1397</c:v>
                  </c:pt>
                  <c:pt idx="70">
                    <c:v>ولایت</c:v>
                  </c:pt>
                  <c:pt idx="72">
                    <c:v>بدخشان</c:v>
                  </c:pt>
                  <c:pt idx="85">
                    <c:v>مجموع </c:v>
                  </c:pt>
                  <c:pt idx="86">
                    <c:v>ولایات</c:v>
                  </c:pt>
                  <c:pt idx="87">
                    <c:v>بلخ</c:v>
                  </c:pt>
                  <c:pt idx="113">
                    <c:v>مجموع </c:v>
                  </c:pt>
                  <c:pt idx="114">
                    <c:v>ولایات</c:v>
                  </c:pt>
                  <c:pt idx="115">
                    <c:v>بغلان</c:v>
                  </c:pt>
                  <c:pt idx="128">
                    <c:v>مجموع </c:v>
                  </c:pt>
                  <c:pt idx="129">
                    <c:v>ولایات</c:v>
                  </c:pt>
                  <c:pt idx="130">
                    <c:v>جوزجان</c:v>
                  </c:pt>
                  <c:pt idx="156">
                    <c:v>مجموع </c:v>
                  </c:pt>
                  <c:pt idx="157">
                    <c:v>ولایات</c:v>
                  </c:pt>
                  <c:pt idx="158">
                    <c:v>سمنگان</c:v>
                  </c:pt>
                  <c:pt idx="171">
                    <c:v>مجموع </c:v>
                  </c:pt>
                  <c:pt idx="172">
                    <c:v>ولایات</c:v>
                  </c:pt>
                  <c:pt idx="173">
                    <c:v>غزنی</c:v>
                  </c:pt>
                  <c:pt idx="179">
                    <c:v>مجموع </c:v>
                  </c:pt>
                  <c:pt idx="180">
                    <c:v>ولایات</c:v>
                  </c:pt>
                  <c:pt idx="181">
                    <c:v>غور</c:v>
                  </c:pt>
                  <c:pt idx="186">
                    <c:v>مجموع </c:v>
                  </c:pt>
                  <c:pt idx="187">
                    <c:v>ولایات</c:v>
                  </c:pt>
                  <c:pt idx="188">
                    <c:v>فاریاب </c:v>
                  </c:pt>
                  <c:pt idx="215">
                    <c:v>مجموع </c:v>
                  </c:pt>
                  <c:pt idx="216">
                    <c:v>ولایات</c:v>
                  </c:pt>
                  <c:pt idx="217">
                    <c:v>هرات </c:v>
                  </c:pt>
                  <c:pt idx="236">
                    <c:v>مجموع </c:v>
                  </c:pt>
                  <c:pt idx="237">
                    <c:v>ولایات</c:v>
                  </c:pt>
                  <c:pt idx="238">
                    <c:v>بادغیس</c:v>
                  </c:pt>
                  <c:pt idx="244">
                    <c:v>مجموع </c:v>
                  </c:pt>
                  <c:pt idx="245">
                    <c:v>ولایات</c:v>
                  </c:pt>
                  <c:pt idx="246">
                    <c:v>دایکندی</c:v>
                  </c:pt>
                  <c:pt idx="252">
                    <c:v>مجموع </c:v>
                  </c:pt>
                  <c:pt idx="253">
                    <c:v>ولایات</c:v>
                  </c:pt>
                  <c:pt idx="254">
                    <c:v>پنجشیر</c:v>
                  </c:pt>
                  <c:pt idx="260">
                    <c:v>مجموع </c:v>
                  </c:pt>
                  <c:pt idx="261">
                    <c:v>ولایات</c:v>
                  </c:pt>
                  <c:pt idx="262">
                    <c:v>میدان وردگ</c:v>
                  </c:pt>
                  <c:pt idx="268">
                    <c:v>مجموع </c:v>
                  </c:pt>
                  <c:pt idx="269">
                    <c:v>ولایات</c:v>
                  </c:pt>
                  <c:pt idx="270">
                    <c:v>تخار</c:v>
                  </c:pt>
                  <c:pt idx="282">
                    <c:v>مجموع </c:v>
                  </c:pt>
                  <c:pt idx="283">
                    <c:v>ولایات</c:v>
                  </c:pt>
                  <c:pt idx="284">
                    <c:v>بامیان</c:v>
                  </c:pt>
                  <c:pt idx="296">
                    <c:v>مجموع فرعی</c:v>
                  </c:pt>
                  <c:pt idx="297">
                    <c:v>مرکز </c:v>
                  </c:pt>
                  <c:pt idx="299">
                    <c:v>مجموع فرعی</c:v>
                  </c:pt>
                  <c:pt idx="300">
                    <c:v>مجموع بودجه بخش تنظیم علفچر ها و نباتات طبی</c:v>
                  </c:pt>
                  <c:pt idx="301">
                    <c:v>  ج : احیای فارم ها و جنگل باغ ها غرض گسترش فضای سبز</c:v>
                  </c:pt>
                  <c:pt idx="302">
                    <c:v>ولایات</c:v>
                  </c:pt>
                  <c:pt idx="303">
                    <c:v>کابل </c:v>
                  </c:pt>
                  <c:pt idx="310">
                    <c:v>مجموعی فرعی</c:v>
                  </c:pt>
                  <c:pt idx="311">
                    <c:v>پروان </c:v>
                  </c:pt>
                  <c:pt idx="318">
                    <c:v>مجموعی فرعی</c:v>
                  </c:pt>
                  <c:pt idx="319">
                    <c:v>کاپیسا</c:v>
                  </c:pt>
                  <c:pt idx="326">
                    <c:v>مجموعی فرعی</c:v>
                  </c:pt>
                  <c:pt idx="327">
                    <c:v>میدان وردک</c:v>
                  </c:pt>
                  <c:pt idx="333">
                    <c:v>مجموعی فرعی</c:v>
                  </c:pt>
                  <c:pt idx="334">
                    <c:v>پنجشیر</c:v>
                  </c:pt>
                  <c:pt idx="341">
                    <c:v>مجموعی فرعی</c:v>
                  </c:pt>
                  <c:pt idx="342">
                    <c:v>بامیان</c:v>
                  </c:pt>
                  <c:pt idx="347">
                    <c:v>مجموعی فرعی</c:v>
                  </c:pt>
                  <c:pt idx="348">
                    <c:v>بلخ</c:v>
                  </c:pt>
                  <c:pt idx="356">
                    <c:v>مجموعی فرعی</c:v>
                  </c:pt>
                  <c:pt idx="357">
                    <c:v>فاریاب </c:v>
                  </c:pt>
                  <c:pt idx="364">
                    <c:v>مجموعی فرعی</c:v>
                  </c:pt>
                  <c:pt idx="365">
                    <c:v>جوزجان</c:v>
                  </c:pt>
                  <c:pt idx="372">
                    <c:v>مجموعی فرعی</c:v>
                  </c:pt>
                  <c:pt idx="373">
                    <c:v>سمنگان</c:v>
                  </c:pt>
                  <c:pt idx="381">
                    <c:v>مجموعی فرعی</c:v>
                  </c:pt>
                  <c:pt idx="382">
                    <c:v>سرپل</c:v>
                  </c:pt>
                  <c:pt idx="389">
                    <c:v>مجموعی فرعی</c:v>
                  </c:pt>
                  <c:pt idx="390">
                    <c:v>پکتیا</c:v>
                  </c:pt>
                  <c:pt idx="397">
                    <c:v>مجموعی فرعی</c:v>
                  </c:pt>
                  <c:pt idx="398">
                    <c:v>غزنی</c:v>
                  </c:pt>
                  <c:pt idx="407">
                    <c:v>مجموعی فرعی</c:v>
                  </c:pt>
                  <c:pt idx="408">
                    <c:v>پکتیکا</c:v>
                  </c:pt>
                  <c:pt idx="415">
                    <c:v>مجموعی فرعی</c:v>
                  </c:pt>
                  <c:pt idx="416">
                    <c:v>خوست </c:v>
                  </c:pt>
                  <c:pt idx="422">
                    <c:v>مجموعی فرعی</c:v>
                  </c:pt>
                  <c:pt idx="423">
                    <c:v>ننگرهار</c:v>
                  </c:pt>
                  <c:pt idx="438">
                    <c:v>مجموعی فرعی</c:v>
                  </c:pt>
                  <c:pt idx="439">
                    <c:v>لغمان </c:v>
                  </c:pt>
                  <c:pt idx="446">
                    <c:v>مجموعی فرعی</c:v>
                  </c:pt>
                  <c:pt idx="447">
                    <c:v>کنر</c:v>
                  </c:pt>
                  <c:pt idx="455">
                    <c:v>مجموعی فرعی</c:v>
                  </c:pt>
                  <c:pt idx="456">
                    <c:v>هرات</c:v>
                  </c:pt>
                  <c:pt idx="463">
                    <c:v>مجموعی فرعی</c:v>
                  </c:pt>
                  <c:pt idx="464">
                    <c:v>فراه</c:v>
                  </c:pt>
                  <c:pt idx="472">
                    <c:v>مجموعی فرعی</c:v>
                  </c:pt>
                  <c:pt idx="473">
                    <c:v>غور </c:v>
                  </c:pt>
                  <c:pt idx="480">
                    <c:v>مجموعی فرعی</c:v>
                  </c:pt>
                  <c:pt idx="481">
                    <c:v>بادغیس </c:v>
                  </c:pt>
                  <c:pt idx="488">
                    <c:v>مجموعی فرعی</c:v>
                  </c:pt>
                  <c:pt idx="489">
                    <c:v>بدخشان </c:v>
                  </c:pt>
                  <c:pt idx="496">
                    <c:v>مجموعی فرعی</c:v>
                  </c:pt>
                  <c:pt idx="497">
                    <c:v>بغلان </c:v>
                  </c:pt>
                  <c:pt idx="504">
                    <c:v>مجموعی فرعی</c:v>
                  </c:pt>
                  <c:pt idx="505">
                    <c:v>تخار</c:v>
                  </c:pt>
                  <c:pt idx="512">
                    <c:v>مجموعی فرعی</c:v>
                  </c:pt>
                  <c:pt idx="513">
                    <c:v>کند هار</c:v>
                  </c:pt>
                  <c:pt idx="519">
                    <c:v>مجموعی فرعی</c:v>
                  </c:pt>
                  <c:pt idx="520">
                    <c:v>هلمند</c:v>
                  </c:pt>
                  <c:pt idx="527">
                    <c:v>مجموعی فرعی</c:v>
                  </c:pt>
                  <c:pt idx="528">
                    <c:v>دایکندی</c:v>
                  </c:pt>
                  <c:pt idx="535">
                    <c:v>مجموعی فرعی</c:v>
                  </c:pt>
                  <c:pt idx="536">
                    <c:v>مجموع بودجه بخش احیای فارم ها و تولید نها</c:v>
                  </c:pt>
                  <c:pt idx="537">
                    <c:v>د :انکشاف ایکوسیستم های با ارزش طبیعی </c:v>
                  </c:pt>
                  <c:pt idx="538">
                    <c:v>ولایات</c:v>
                  </c:pt>
                  <c:pt idx="539">
                    <c:v>بامیان</c:v>
                  </c:pt>
                  <c:pt idx="543">
                    <c:v>مجموع فرعی</c:v>
                  </c:pt>
                  <c:pt idx="544">
                    <c:v>ولایات</c:v>
                  </c:pt>
                  <c:pt idx="545">
                    <c:v>بدخشان</c:v>
                  </c:pt>
                  <c:pt idx="547">
                    <c:v>مجموع فرعی</c:v>
                  </c:pt>
                  <c:pt idx="548">
                    <c:v>ولایات</c:v>
                  </c:pt>
                  <c:pt idx="549">
                    <c:v>کابل </c:v>
                  </c:pt>
                  <c:pt idx="550">
                    <c:v>مجموع فرعی</c:v>
                  </c:pt>
                  <c:pt idx="551">
                    <c:v>مجموع بودجه اکوسیستم های بار ارزش طبیعی </c:v>
                  </c:pt>
                  <c:pt idx="552">
                    <c:v>مصارف متفرقه در مرکز وزارت</c:v>
                  </c:pt>
                  <c:pt idx="553">
                    <c:v>مرکز </c:v>
                  </c:pt>
                  <c:pt idx="554">
                    <c:v>مرکز </c:v>
                  </c:pt>
                  <c:pt idx="555">
                    <c:v>مجموع فرعی</c:v>
                  </c:pt>
                  <c:pt idx="556">
                    <c:v>پلان کاری توحیدی سالانه برنامه ملی تنظیم منابع طبیعی  برای سال 1397</c:v>
                  </c:pt>
                  <c:pt idx="557">
                    <c:v>مقصد مشخص</c:v>
                  </c:pt>
                  <c:pt idx="558">
                    <c:v>الف</c:v>
                  </c:pt>
                  <c:pt idx="559">
                    <c:v>ب</c:v>
                  </c:pt>
                  <c:pt idx="560">
                    <c:v>ج </c:v>
                  </c:pt>
                  <c:pt idx="561">
                    <c:v>د</c:v>
                  </c:pt>
                  <c:pt idx="562">
                    <c:v>مصارف متفرقه</c:v>
                  </c:pt>
                  <c:pt idx="563">
                    <c:v>مجموع عمومی برنامه در سال 1397 به افغانی</c:v>
                  </c:pt>
                  <c:pt idx="564">
                    <c:v>ترتیب کنند گان</c:v>
                  </c:pt>
                  <c:pt idx="565">
                    <c:v>اسم </c:v>
                  </c:pt>
                  <c:pt idx="570">
                    <c:v>                  مرور و چک کننده گان </c:v>
                  </c:pt>
                  <c:pt idx="574">
                    <c:v>                  توحید کننده:</c:v>
                  </c:pt>
                </c:lvl>
              </c:multiLvlStrCache>
            </c:multiLvlStrRef>
          </c:cat>
          <c:val>
            <c:numRef>
              <c:f>'پلان گاری سالانه با نواقص'!$L$1:$L$579</c:f>
              <c:numCache>
                <c:formatCode>General</c:formatCode>
                <c:ptCount val="579"/>
                <c:pt idx="2">
                  <c:v>0</c:v>
                </c:pt>
                <c:pt idx="4">
                  <c:v>0</c:v>
                </c:pt>
                <c:pt idx="8">
                  <c:v>0</c:v>
                </c:pt>
                <c:pt idx="9">
                  <c:v>0</c:v>
                </c:pt>
                <c:pt idx="13">
                  <c:v>0</c:v>
                </c:pt>
                <c:pt idx="14">
                  <c:v>0</c:v>
                </c:pt>
                <c:pt idx="19">
                  <c:v>0</c:v>
                </c:pt>
                <c:pt idx="20">
                  <c:v>0</c:v>
                </c:pt>
                <c:pt idx="24">
                  <c:v>0</c:v>
                </c:pt>
                <c:pt idx="25">
                  <c:v>0</c:v>
                </c:pt>
                <c:pt idx="29">
                  <c:v>0</c:v>
                </c:pt>
                <c:pt idx="30">
                  <c:v>0</c:v>
                </c:pt>
                <c:pt idx="33">
                  <c:v>0</c:v>
                </c:pt>
                <c:pt idx="34">
                  <c:v>0</c:v>
                </c:pt>
                <c:pt idx="37">
                  <c:v>0</c:v>
                </c:pt>
                <c:pt idx="38">
                  <c:v>0</c:v>
                </c:pt>
                <c:pt idx="41">
                  <c:v>0</c:v>
                </c:pt>
                <c:pt idx="42">
                  <c:v>0</c:v>
                </c:pt>
                <c:pt idx="47">
                  <c:v>0</c:v>
                </c:pt>
                <c:pt idx="48">
                  <c:v>0</c:v>
                </c:pt>
                <c:pt idx="54">
                  <c:v>0</c:v>
                </c:pt>
                <c:pt idx="55">
                  <c:v>0</c:v>
                </c:pt>
                <c:pt idx="59">
                  <c:v>0</c:v>
                </c:pt>
                <c:pt idx="60">
                  <c:v>0</c:v>
                </c:pt>
                <c:pt idx="64">
                  <c:v>0</c:v>
                </c:pt>
                <c:pt idx="65">
                  <c:v>0</c:v>
                </c:pt>
                <c:pt idx="68" formatCode="_(* #,##0_);_(* \(#,##0\);_(* &quot;-&quot;??_);_(@_)">
                  <c:v>0</c:v>
                </c:pt>
                <c:pt idx="70">
                  <c:v>0</c:v>
                </c:pt>
                <c:pt idx="72" formatCode="0.00">
                  <c:v>0</c:v>
                </c:pt>
                <c:pt idx="73" formatCode="0.00">
                  <c:v>0</c:v>
                </c:pt>
                <c:pt idx="76" formatCode="0.00">
                  <c:v>0</c:v>
                </c:pt>
                <c:pt idx="77" formatCode="0.00">
                  <c:v>0</c:v>
                </c:pt>
                <c:pt idx="79" formatCode="0.00">
                  <c:v>0</c:v>
                </c:pt>
                <c:pt idx="80" formatCode="0.00">
                  <c:v>0</c:v>
                </c:pt>
                <c:pt idx="81" formatCode="0.00">
                  <c:v>0</c:v>
                </c:pt>
                <c:pt idx="82" formatCode="0.00">
                  <c:v>0</c:v>
                </c:pt>
                <c:pt idx="83" formatCode="0.00">
                  <c:v>0</c:v>
                </c:pt>
                <c:pt idx="84" formatCode="0.00">
                  <c:v>0</c:v>
                </c:pt>
                <c:pt idx="86">
                  <c:v>0</c:v>
                </c:pt>
                <c:pt idx="89" formatCode="0.00">
                  <c:v>0</c:v>
                </c:pt>
                <c:pt idx="90" formatCode="0.00">
                  <c:v>0</c:v>
                </c:pt>
                <c:pt idx="91" formatCode="0.00">
                  <c:v>0</c:v>
                </c:pt>
                <c:pt idx="92" formatCode="0.00">
                  <c:v>0</c:v>
                </c:pt>
                <c:pt idx="93" formatCode="0.00">
                  <c:v>0</c:v>
                </c:pt>
                <c:pt idx="94" formatCode="0.00">
                  <c:v>0</c:v>
                </c:pt>
                <c:pt idx="95" formatCode="0.00">
                  <c:v>0</c:v>
                </c:pt>
                <c:pt idx="96" formatCode="0.00">
                  <c:v>0</c:v>
                </c:pt>
                <c:pt idx="97" formatCode="0.00">
                  <c:v>0</c:v>
                </c:pt>
                <c:pt idx="98" formatCode="0.00">
                  <c:v>0</c:v>
                </c:pt>
                <c:pt idx="99" formatCode="0.00">
                  <c:v>0</c:v>
                </c:pt>
                <c:pt idx="100" formatCode="0.00">
                  <c:v>0</c:v>
                </c:pt>
                <c:pt idx="101" formatCode="0.00">
                  <c:v>0</c:v>
                </c:pt>
                <c:pt idx="102" formatCode="0.00">
                  <c:v>0</c:v>
                </c:pt>
                <c:pt idx="103" formatCode="0.00">
                  <c:v>0</c:v>
                </c:pt>
                <c:pt idx="104" formatCode="0.00">
                  <c:v>0</c:v>
                </c:pt>
                <c:pt idx="106" formatCode="0.00">
                  <c:v>0</c:v>
                </c:pt>
                <c:pt idx="107" formatCode="0.00">
                  <c:v>0</c:v>
                </c:pt>
                <c:pt idx="108" formatCode="0.00">
                  <c:v>0</c:v>
                </c:pt>
                <c:pt idx="109" formatCode="0.00">
                  <c:v>0</c:v>
                </c:pt>
                <c:pt idx="110" formatCode="0.00">
                  <c:v>0</c:v>
                </c:pt>
                <c:pt idx="111" formatCode="0.00">
                  <c:v>0</c:v>
                </c:pt>
                <c:pt idx="112" formatCode="0.00">
                  <c:v>0</c:v>
                </c:pt>
                <c:pt idx="114">
                  <c:v>0</c:v>
                </c:pt>
                <c:pt idx="115" formatCode="0.00">
                  <c:v>0</c:v>
                </c:pt>
                <c:pt idx="116" formatCode="0.00">
                  <c:v>0</c:v>
                </c:pt>
                <c:pt idx="117" formatCode="0.00">
                  <c:v>0</c:v>
                </c:pt>
                <c:pt idx="118" formatCode="0.00">
                  <c:v>0</c:v>
                </c:pt>
                <c:pt idx="119" formatCode="0.00">
                  <c:v>0</c:v>
                </c:pt>
                <c:pt idx="120" formatCode="0.00">
                  <c:v>0</c:v>
                </c:pt>
                <c:pt idx="121" formatCode="0.00">
                  <c:v>0</c:v>
                </c:pt>
                <c:pt idx="122" formatCode="0.00">
                  <c:v>0</c:v>
                </c:pt>
                <c:pt idx="123" formatCode="0.00">
                  <c:v>0</c:v>
                </c:pt>
                <c:pt idx="124" formatCode="0.00">
                  <c:v>0</c:v>
                </c:pt>
                <c:pt idx="125" formatCode="0.00">
                  <c:v>0</c:v>
                </c:pt>
                <c:pt idx="126" formatCode="0.00">
                  <c:v>0</c:v>
                </c:pt>
                <c:pt idx="127" formatCode="0.00">
                  <c:v>0</c:v>
                </c:pt>
                <c:pt idx="129">
                  <c:v>0</c:v>
                </c:pt>
                <c:pt idx="130" formatCode="0.00">
                  <c:v>0</c:v>
                </c:pt>
                <c:pt idx="131" formatCode="0.00">
                  <c:v>0</c:v>
                </c:pt>
                <c:pt idx="132" formatCode="0.00">
                  <c:v>0</c:v>
                </c:pt>
                <c:pt idx="133" formatCode="0.00">
                  <c:v>0</c:v>
                </c:pt>
                <c:pt idx="134" formatCode="0.00">
                  <c:v>0</c:v>
                </c:pt>
                <c:pt idx="135" formatCode="0.00">
                  <c:v>0</c:v>
                </c:pt>
                <c:pt idx="136" formatCode="0.00">
                  <c:v>0</c:v>
                </c:pt>
                <c:pt idx="137" formatCode="0.00">
                  <c:v>0</c:v>
                </c:pt>
                <c:pt idx="138" formatCode="0.00">
                  <c:v>0</c:v>
                </c:pt>
                <c:pt idx="139" formatCode="0.00">
                  <c:v>0</c:v>
                </c:pt>
                <c:pt idx="140" formatCode="0.00">
                  <c:v>0</c:v>
                </c:pt>
                <c:pt idx="141" formatCode="0.00">
                  <c:v>0</c:v>
                </c:pt>
                <c:pt idx="142" formatCode="0.00">
                  <c:v>0</c:v>
                </c:pt>
                <c:pt idx="143" formatCode="0.00">
                  <c:v>0</c:v>
                </c:pt>
                <c:pt idx="144">
                  <c:v>0</c:v>
                </c:pt>
                <c:pt idx="145">
                  <c:v>0</c:v>
                </c:pt>
                <c:pt idx="147" formatCode="0.00">
                  <c:v>0</c:v>
                </c:pt>
                <c:pt idx="149" formatCode="0.00">
                  <c:v>0</c:v>
                </c:pt>
                <c:pt idx="150" formatCode="0.00">
                  <c:v>0</c:v>
                </c:pt>
                <c:pt idx="151" formatCode="0.00">
                  <c:v>0</c:v>
                </c:pt>
                <c:pt idx="152" formatCode="0.00">
                  <c:v>0</c:v>
                </c:pt>
                <c:pt idx="154" formatCode="0.00">
                  <c:v>0</c:v>
                </c:pt>
                <c:pt idx="155" formatCode="0.00">
                  <c:v>0</c:v>
                </c:pt>
                <c:pt idx="157">
                  <c:v>0</c:v>
                </c:pt>
                <c:pt idx="158">
                  <c:v>0</c:v>
                </c:pt>
                <c:pt idx="159">
                  <c:v>0</c:v>
                </c:pt>
                <c:pt idx="160" formatCode="0.00">
                  <c:v>0</c:v>
                </c:pt>
                <c:pt idx="161">
                  <c:v>0</c:v>
                </c:pt>
                <c:pt idx="162">
                  <c:v>0</c:v>
                </c:pt>
                <c:pt idx="163">
                  <c:v>0</c:v>
                </c:pt>
                <c:pt idx="165">
                  <c:v>0</c:v>
                </c:pt>
                <c:pt idx="166">
                  <c:v>0</c:v>
                </c:pt>
                <c:pt idx="167">
                  <c:v>0</c:v>
                </c:pt>
                <c:pt idx="168">
                  <c:v>0</c:v>
                </c:pt>
                <c:pt idx="169">
                  <c:v>0</c:v>
                </c:pt>
                <c:pt idx="170">
                  <c:v>0</c:v>
                </c:pt>
                <c:pt idx="172">
                  <c:v>0</c:v>
                </c:pt>
                <c:pt idx="173">
                  <c:v>0</c:v>
                </c:pt>
                <c:pt idx="175">
                  <c:v>0</c:v>
                </c:pt>
                <c:pt idx="176">
                  <c:v>0</c:v>
                </c:pt>
                <c:pt idx="177">
                  <c:v>0</c:v>
                </c:pt>
                <c:pt idx="178">
                  <c:v>0</c:v>
                </c:pt>
                <c:pt idx="180">
                  <c:v>0</c:v>
                </c:pt>
                <c:pt idx="181">
                  <c:v>0</c:v>
                </c:pt>
                <c:pt idx="182">
                  <c:v>0</c:v>
                </c:pt>
                <c:pt idx="183">
                  <c:v>0</c:v>
                </c:pt>
                <c:pt idx="184">
                  <c:v>0</c:v>
                </c:pt>
                <c:pt idx="185">
                  <c:v>0</c:v>
                </c:pt>
                <c:pt idx="187">
                  <c:v>0</c:v>
                </c:pt>
                <c:pt idx="188">
                  <c:v>0</c:v>
                </c:pt>
                <c:pt idx="189">
                  <c:v>0</c:v>
                </c:pt>
                <c:pt idx="190">
                  <c:v>0</c:v>
                </c:pt>
                <c:pt idx="191">
                  <c:v>0</c:v>
                </c:pt>
                <c:pt idx="192" formatCode="0.00">
                  <c:v>0</c:v>
                </c:pt>
                <c:pt idx="193" formatCode="0.00">
                  <c:v>0</c:v>
                </c:pt>
                <c:pt idx="194" formatCode="0.00">
                  <c:v>0</c:v>
                </c:pt>
                <c:pt idx="195" formatCode="0.00">
                  <c:v>0</c:v>
                </c:pt>
                <c:pt idx="196" formatCode="0.00">
                  <c:v>0</c:v>
                </c:pt>
                <c:pt idx="197" formatCode="0.00">
                  <c:v>0</c:v>
                </c:pt>
                <c:pt idx="198" formatCode="0.00">
                  <c:v>0</c:v>
                </c:pt>
                <c:pt idx="199" formatCode="0.00">
                  <c:v>0</c:v>
                </c:pt>
                <c:pt idx="200" formatCode="0.00">
                  <c:v>0</c:v>
                </c:pt>
                <c:pt idx="201" formatCode="0.00">
                  <c:v>0</c:v>
                </c:pt>
                <c:pt idx="202" formatCode="0.00">
                  <c:v>0</c:v>
                </c:pt>
                <c:pt idx="203" formatCode="0.00">
                  <c:v>0</c:v>
                </c:pt>
                <c:pt idx="204" formatCode="0.00">
                  <c:v>0</c:v>
                </c:pt>
                <c:pt idx="205" formatCode="0.00">
                  <c:v>0</c:v>
                </c:pt>
                <c:pt idx="206">
                  <c:v>0</c:v>
                </c:pt>
                <c:pt idx="207">
                  <c:v>0</c:v>
                </c:pt>
                <c:pt idx="208">
                  <c:v>0</c:v>
                </c:pt>
                <c:pt idx="209">
                  <c:v>0</c:v>
                </c:pt>
                <c:pt idx="210">
                  <c:v>0</c:v>
                </c:pt>
                <c:pt idx="211">
                  <c:v>0</c:v>
                </c:pt>
                <c:pt idx="212">
                  <c:v>0</c:v>
                </c:pt>
                <c:pt idx="213">
                  <c:v>0</c:v>
                </c:pt>
                <c:pt idx="214">
                  <c:v>0</c:v>
                </c:pt>
                <c:pt idx="216">
                  <c:v>0</c:v>
                </c:pt>
                <c:pt idx="217" formatCode="0.00">
                  <c:v>0</c:v>
                </c:pt>
                <c:pt idx="218" formatCode="0.00">
                  <c:v>0</c:v>
                </c:pt>
                <c:pt idx="219" formatCode="0.00">
                  <c:v>0</c:v>
                </c:pt>
                <c:pt idx="220" formatCode="0.00">
                  <c:v>0</c:v>
                </c:pt>
                <c:pt idx="221" formatCode="0.00">
                  <c:v>0</c:v>
                </c:pt>
                <c:pt idx="222" formatCode="0.00">
                  <c:v>0</c:v>
                </c:pt>
                <c:pt idx="223" formatCode="0.00">
                  <c:v>0</c:v>
                </c:pt>
                <c:pt idx="224" formatCode="0.00">
                  <c:v>0</c:v>
                </c:pt>
                <c:pt idx="225" formatCode="0.00">
                  <c:v>0</c:v>
                </c:pt>
                <c:pt idx="226" formatCode="0.00">
                  <c:v>0</c:v>
                </c:pt>
                <c:pt idx="227" formatCode="0.00">
                  <c:v>0</c:v>
                </c:pt>
                <c:pt idx="232">
                  <c:v>0</c:v>
                </c:pt>
                <c:pt idx="233">
                  <c:v>0</c:v>
                </c:pt>
                <c:pt idx="234" formatCode="0.00">
                  <c:v>0</c:v>
                </c:pt>
                <c:pt idx="235" formatCode="0.00">
                  <c:v>0</c:v>
                </c:pt>
                <c:pt idx="237">
                  <c:v>0</c:v>
                </c:pt>
                <c:pt idx="238" formatCode="0.00">
                  <c:v>0</c:v>
                </c:pt>
                <c:pt idx="239" formatCode="0.00">
                  <c:v>0</c:v>
                </c:pt>
                <c:pt idx="240" formatCode="0.00">
                  <c:v>0</c:v>
                </c:pt>
                <c:pt idx="241" formatCode="0.00">
                  <c:v>0</c:v>
                </c:pt>
                <c:pt idx="242" formatCode="0.00">
                  <c:v>0</c:v>
                </c:pt>
                <c:pt idx="243" formatCode="0.00">
                  <c:v>0</c:v>
                </c:pt>
                <c:pt idx="245">
                  <c:v>0</c:v>
                </c:pt>
                <c:pt idx="246" formatCode="0.00">
                  <c:v>0</c:v>
                </c:pt>
                <c:pt idx="247" formatCode="0.00">
                  <c:v>0</c:v>
                </c:pt>
                <c:pt idx="248" formatCode="0.00">
                  <c:v>0</c:v>
                </c:pt>
                <c:pt idx="249" formatCode="0.00">
                  <c:v>0</c:v>
                </c:pt>
                <c:pt idx="250" formatCode="0.00">
                  <c:v>0</c:v>
                </c:pt>
                <c:pt idx="251" formatCode="0.00">
                  <c:v>0</c:v>
                </c:pt>
                <c:pt idx="253">
                  <c:v>0</c:v>
                </c:pt>
                <c:pt idx="254" formatCode="0.00">
                  <c:v>0</c:v>
                </c:pt>
                <c:pt idx="255" formatCode="0.00">
                  <c:v>0</c:v>
                </c:pt>
                <c:pt idx="256" formatCode="0.00">
                  <c:v>0</c:v>
                </c:pt>
                <c:pt idx="257" formatCode="0.00">
                  <c:v>0</c:v>
                </c:pt>
                <c:pt idx="258" formatCode="0.00">
                  <c:v>0</c:v>
                </c:pt>
                <c:pt idx="259" formatCode="0.00">
                  <c:v>0</c:v>
                </c:pt>
                <c:pt idx="261">
                  <c:v>0</c:v>
                </c:pt>
                <c:pt idx="262" formatCode="0.00">
                  <c:v>0</c:v>
                </c:pt>
                <c:pt idx="263" formatCode="0.00">
                  <c:v>0</c:v>
                </c:pt>
                <c:pt idx="264" formatCode="0.00">
                  <c:v>0</c:v>
                </c:pt>
                <c:pt idx="265" formatCode="0.00">
                  <c:v>0</c:v>
                </c:pt>
                <c:pt idx="266" formatCode="0.00">
                  <c:v>0</c:v>
                </c:pt>
                <c:pt idx="267" formatCode="0.00">
                  <c:v>0</c:v>
                </c:pt>
                <c:pt idx="269">
                  <c:v>0</c:v>
                </c:pt>
                <c:pt idx="270" formatCode="0.00">
                  <c:v>0</c:v>
                </c:pt>
                <c:pt idx="271" formatCode="0.00">
                  <c:v>0</c:v>
                </c:pt>
                <c:pt idx="272" formatCode="0.00">
                  <c:v>0</c:v>
                </c:pt>
                <c:pt idx="273" formatCode="0.00">
                  <c:v>0</c:v>
                </c:pt>
                <c:pt idx="274" formatCode="0.00">
                  <c:v>0</c:v>
                </c:pt>
                <c:pt idx="276">
                  <c:v>0</c:v>
                </c:pt>
                <c:pt idx="277">
                  <c:v>0</c:v>
                </c:pt>
                <c:pt idx="278">
                  <c:v>0</c:v>
                </c:pt>
                <c:pt idx="279">
                  <c:v>0</c:v>
                </c:pt>
                <c:pt idx="280">
                  <c:v>0</c:v>
                </c:pt>
                <c:pt idx="281" formatCode="0.00">
                  <c:v>0</c:v>
                </c:pt>
                <c:pt idx="283">
                  <c:v>0</c:v>
                </c:pt>
                <c:pt idx="284" formatCode="0.00">
                  <c:v>0</c:v>
                </c:pt>
                <c:pt idx="285" formatCode="0.00">
                  <c:v>0</c:v>
                </c:pt>
                <c:pt idx="286" formatCode="0.00">
                  <c:v>0</c:v>
                </c:pt>
                <c:pt idx="287" formatCode="0.00">
                  <c:v>0</c:v>
                </c:pt>
                <c:pt idx="288" formatCode="0.00">
                  <c:v>0</c:v>
                </c:pt>
                <c:pt idx="290">
                  <c:v>0</c:v>
                </c:pt>
                <c:pt idx="291">
                  <c:v>0</c:v>
                </c:pt>
                <c:pt idx="292">
                  <c:v>0</c:v>
                </c:pt>
                <c:pt idx="293">
                  <c:v>0</c:v>
                </c:pt>
                <c:pt idx="294">
                  <c:v>0</c:v>
                </c:pt>
                <c:pt idx="295" formatCode="0.00">
                  <c:v>0</c:v>
                </c:pt>
                <c:pt idx="299" formatCode="_(* #,##0_);_(* \(#,##0\);_(* &quot;-&quot;??_);_(@_)">
                  <c:v>0</c:v>
                </c:pt>
                <c:pt idx="300" formatCode="_(* #,##0_);_(* \(#,##0\);_(* &quot;-&quot;??_);_(@_)">
                  <c:v>0</c:v>
                </c:pt>
                <c:pt idx="302">
                  <c:v>0</c:v>
                </c:pt>
                <c:pt idx="303" formatCode="0">
                  <c:v>0</c:v>
                </c:pt>
                <c:pt idx="304" formatCode="0">
                  <c:v>0</c:v>
                </c:pt>
                <c:pt idx="305" formatCode="0">
                  <c:v>0</c:v>
                </c:pt>
                <c:pt idx="306" formatCode="0">
                  <c:v>0</c:v>
                </c:pt>
                <c:pt idx="307" formatCode="0">
                  <c:v>0</c:v>
                </c:pt>
                <c:pt idx="308" formatCode="0">
                  <c:v>0</c:v>
                </c:pt>
                <c:pt idx="309" formatCode="0">
                  <c:v>0</c:v>
                </c:pt>
                <c:pt idx="311" formatCode="0">
                  <c:v>0</c:v>
                </c:pt>
                <c:pt idx="312" formatCode="0">
                  <c:v>0</c:v>
                </c:pt>
                <c:pt idx="313" formatCode="0">
                  <c:v>0</c:v>
                </c:pt>
                <c:pt idx="314" formatCode="0">
                  <c:v>0</c:v>
                </c:pt>
                <c:pt idx="315" formatCode="0">
                  <c:v>0</c:v>
                </c:pt>
                <c:pt idx="316" formatCode="0">
                  <c:v>0</c:v>
                </c:pt>
                <c:pt idx="317" formatCode="0">
                  <c:v>0</c:v>
                </c:pt>
                <c:pt idx="319" formatCode="0">
                  <c:v>0</c:v>
                </c:pt>
                <c:pt idx="320" formatCode="0">
                  <c:v>0</c:v>
                </c:pt>
                <c:pt idx="321" formatCode="0">
                  <c:v>0</c:v>
                </c:pt>
                <c:pt idx="322" formatCode="0">
                  <c:v>0</c:v>
                </c:pt>
                <c:pt idx="323" formatCode="0">
                  <c:v>0</c:v>
                </c:pt>
                <c:pt idx="324" formatCode="0">
                  <c:v>0</c:v>
                </c:pt>
                <c:pt idx="325" formatCode="0">
                  <c:v>0</c:v>
                </c:pt>
                <c:pt idx="327" formatCode="0">
                  <c:v>0</c:v>
                </c:pt>
                <c:pt idx="328" formatCode="0">
                  <c:v>0</c:v>
                </c:pt>
                <c:pt idx="329" formatCode="0">
                  <c:v>0</c:v>
                </c:pt>
                <c:pt idx="330" formatCode="0">
                  <c:v>0</c:v>
                </c:pt>
                <c:pt idx="331" formatCode="0">
                  <c:v>0</c:v>
                </c:pt>
                <c:pt idx="332" formatCode="0">
                  <c:v>0</c:v>
                </c:pt>
                <c:pt idx="334" formatCode="0">
                  <c:v>0</c:v>
                </c:pt>
                <c:pt idx="335" formatCode="0">
                  <c:v>0</c:v>
                </c:pt>
                <c:pt idx="336" formatCode="0">
                  <c:v>0</c:v>
                </c:pt>
                <c:pt idx="337" formatCode="0">
                  <c:v>0</c:v>
                </c:pt>
                <c:pt idx="338" formatCode="0">
                  <c:v>0</c:v>
                </c:pt>
                <c:pt idx="339" formatCode="0">
                  <c:v>0</c:v>
                </c:pt>
                <c:pt idx="340" formatCode="0">
                  <c:v>0</c:v>
                </c:pt>
                <c:pt idx="342">
                  <c:v>0</c:v>
                </c:pt>
                <c:pt idx="343">
                  <c:v>0</c:v>
                </c:pt>
                <c:pt idx="344">
                  <c:v>0</c:v>
                </c:pt>
                <c:pt idx="345">
                  <c:v>0</c:v>
                </c:pt>
                <c:pt idx="346" formatCode="0">
                  <c:v>0</c:v>
                </c:pt>
                <c:pt idx="348">
                  <c:v>0</c:v>
                </c:pt>
                <c:pt idx="349">
                  <c:v>0</c:v>
                </c:pt>
                <c:pt idx="350">
                  <c:v>0</c:v>
                </c:pt>
                <c:pt idx="351">
                  <c:v>0</c:v>
                </c:pt>
                <c:pt idx="352">
                  <c:v>0</c:v>
                </c:pt>
                <c:pt idx="353">
                  <c:v>0</c:v>
                </c:pt>
                <c:pt idx="354">
                  <c:v>0</c:v>
                </c:pt>
                <c:pt idx="355" formatCode="0">
                  <c:v>0</c:v>
                </c:pt>
                <c:pt idx="357" formatCode="0">
                  <c:v>0</c:v>
                </c:pt>
                <c:pt idx="358" formatCode="0">
                  <c:v>0</c:v>
                </c:pt>
                <c:pt idx="359" formatCode="0">
                  <c:v>0</c:v>
                </c:pt>
                <c:pt idx="360" formatCode="0">
                  <c:v>0</c:v>
                </c:pt>
                <c:pt idx="361" formatCode="0">
                  <c:v>0</c:v>
                </c:pt>
                <c:pt idx="362" formatCode="0">
                  <c:v>0</c:v>
                </c:pt>
                <c:pt idx="363" formatCode="0">
                  <c:v>0</c:v>
                </c:pt>
                <c:pt idx="365" formatCode="0">
                  <c:v>0</c:v>
                </c:pt>
                <c:pt idx="366" formatCode="0">
                  <c:v>0</c:v>
                </c:pt>
                <c:pt idx="367" formatCode="0">
                  <c:v>0</c:v>
                </c:pt>
                <c:pt idx="368" formatCode="0">
                  <c:v>0</c:v>
                </c:pt>
                <c:pt idx="369" formatCode="0">
                  <c:v>0</c:v>
                </c:pt>
                <c:pt idx="370" formatCode="0">
                  <c:v>0</c:v>
                </c:pt>
                <c:pt idx="371" formatCode="0">
                  <c:v>0</c:v>
                </c:pt>
                <c:pt idx="373" formatCode="0">
                  <c:v>0</c:v>
                </c:pt>
                <c:pt idx="374" formatCode="0">
                  <c:v>0</c:v>
                </c:pt>
                <c:pt idx="375" formatCode="0">
                  <c:v>0</c:v>
                </c:pt>
                <c:pt idx="376" formatCode="0">
                  <c:v>0</c:v>
                </c:pt>
                <c:pt idx="377" formatCode="0">
                  <c:v>0</c:v>
                </c:pt>
                <c:pt idx="378" formatCode="0">
                  <c:v>0</c:v>
                </c:pt>
                <c:pt idx="379" formatCode="0">
                  <c:v>0</c:v>
                </c:pt>
                <c:pt idx="380" formatCode="0">
                  <c:v>0</c:v>
                </c:pt>
                <c:pt idx="382" formatCode="0">
                  <c:v>0</c:v>
                </c:pt>
                <c:pt idx="383" formatCode="0">
                  <c:v>0</c:v>
                </c:pt>
                <c:pt idx="384" formatCode="0">
                  <c:v>0</c:v>
                </c:pt>
                <c:pt idx="385" formatCode="0">
                  <c:v>0</c:v>
                </c:pt>
                <c:pt idx="386" formatCode="0">
                  <c:v>0</c:v>
                </c:pt>
                <c:pt idx="387" formatCode="0">
                  <c:v>0</c:v>
                </c:pt>
                <c:pt idx="388" formatCode="0">
                  <c:v>0</c:v>
                </c:pt>
                <c:pt idx="390" formatCode="0">
                  <c:v>0</c:v>
                </c:pt>
                <c:pt idx="391" formatCode="0">
                  <c:v>0</c:v>
                </c:pt>
                <c:pt idx="392" formatCode="0">
                  <c:v>0</c:v>
                </c:pt>
                <c:pt idx="393" formatCode="0">
                  <c:v>0</c:v>
                </c:pt>
                <c:pt idx="394" formatCode="0">
                  <c:v>0</c:v>
                </c:pt>
                <c:pt idx="395" formatCode="0">
                  <c:v>0</c:v>
                </c:pt>
                <c:pt idx="396" formatCode="0">
                  <c:v>0</c:v>
                </c:pt>
                <c:pt idx="398" formatCode="0">
                  <c:v>0</c:v>
                </c:pt>
                <c:pt idx="399" formatCode="0">
                  <c:v>0</c:v>
                </c:pt>
                <c:pt idx="400" formatCode="0">
                  <c:v>0</c:v>
                </c:pt>
                <c:pt idx="401" formatCode="0">
                  <c:v>0</c:v>
                </c:pt>
                <c:pt idx="402" formatCode="0">
                  <c:v>0</c:v>
                </c:pt>
                <c:pt idx="403" formatCode="0">
                  <c:v>0</c:v>
                </c:pt>
                <c:pt idx="404" formatCode="0">
                  <c:v>0</c:v>
                </c:pt>
                <c:pt idx="405" formatCode="0">
                  <c:v>0</c:v>
                </c:pt>
                <c:pt idx="406" formatCode="0">
                  <c:v>0</c:v>
                </c:pt>
                <c:pt idx="408" formatCode="0">
                  <c:v>0</c:v>
                </c:pt>
                <c:pt idx="409" formatCode="0">
                  <c:v>0</c:v>
                </c:pt>
                <c:pt idx="410" formatCode="0">
                  <c:v>0</c:v>
                </c:pt>
                <c:pt idx="411" formatCode="0">
                  <c:v>0</c:v>
                </c:pt>
                <c:pt idx="412" formatCode="0">
                  <c:v>0</c:v>
                </c:pt>
                <c:pt idx="413" formatCode="0">
                  <c:v>0</c:v>
                </c:pt>
                <c:pt idx="414" formatCode="0">
                  <c:v>0</c:v>
                </c:pt>
                <c:pt idx="416" formatCode="0">
                  <c:v>0</c:v>
                </c:pt>
                <c:pt idx="417" formatCode="0">
                  <c:v>0</c:v>
                </c:pt>
                <c:pt idx="418" formatCode="0">
                  <c:v>0</c:v>
                </c:pt>
                <c:pt idx="419" formatCode="0">
                  <c:v>0</c:v>
                </c:pt>
                <c:pt idx="420" formatCode="0">
                  <c:v>0</c:v>
                </c:pt>
                <c:pt idx="421" formatCode="0">
                  <c:v>0</c:v>
                </c:pt>
                <c:pt idx="423" formatCode="0">
                  <c:v>0</c:v>
                </c:pt>
                <c:pt idx="424" formatCode="0">
                  <c:v>0</c:v>
                </c:pt>
                <c:pt idx="425" formatCode="0">
                  <c:v>0</c:v>
                </c:pt>
                <c:pt idx="426" formatCode="0">
                  <c:v>0</c:v>
                </c:pt>
                <c:pt idx="427" formatCode="0">
                  <c:v>0</c:v>
                </c:pt>
                <c:pt idx="428" formatCode="0">
                  <c:v>0</c:v>
                </c:pt>
                <c:pt idx="429" formatCode="0">
                  <c:v>0</c:v>
                </c:pt>
                <c:pt idx="430" formatCode="0">
                  <c:v>0</c:v>
                </c:pt>
                <c:pt idx="431" formatCode="0">
                  <c:v>0</c:v>
                </c:pt>
                <c:pt idx="432" formatCode="0">
                  <c:v>0</c:v>
                </c:pt>
                <c:pt idx="433" formatCode="0">
                  <c:v>0</c:v>
                </c:pt>
                <c:pt idx="434" formatCode="0">
                  <c:v>0</c:v>
                </c:pt>
                <c:pt idx="435" formatCode="0">
                  <c:v>0</c:v>
                </c:pt>
                <c:pt idx="436" formatCode="0">
                  <c:v>0</c:v>
                </c:pt>
                <c:pt idx="437" formatCode="0">
                  <c:v>0</c:v>
                </c:pt>
                <c:pt idx="439" formatCode="0">
                  <c:v>0</c:v>
                </c:pt>
                <c:pt idx="440" formatCode="0">
                  <c:v>0</c:v>
                </c:pt>
                <c:pt idx="441" formatCode="0">
                  <c:v>0</c:v>
                </c:pt>
                <c:pt idx="442" formatCode="0">
                  <c:v>0</c:v>
                </c:pt>
                <c:pt idx="443" formatCode="0">
                  <c:v>0</c:v>
                </c:pt>
                <c:pt idx="444" formatCode="0">
                  <c:v>0</c:v>
                </c:pt>
                <c:pt idx="445" formatCode="0">
                  <c:v>0</c:v>
                </c:pt>
                <c:pt idx="447" formatCode="0">
                  <c:v>0</c:v>
                </c:pt>
                <c:pt idx="448" formatCode="0">
                  <c:v>0</c:v>
                </c:pt>
                <c:pt idx="449" formatCode="0">
                  <c:v>0</c:v>
                </c:pt>
                <c:pt idx="450" formatCode="0">
                  <c:v>0</c:v>
                </c:pt>
                <c:pt idx="451" formatCode="0">
                  <c:v>0</c:v>
                </c:pt>
                <c:pt idx="452" formatCode="0">
                  <c:v>0</c:v>
                </c:pt>
                <c:pt idx="453" formatCode="0">
                  <c:v>0</c:v>
                </c:pt>
                <c:pt idx="454" formatCode="0">
                  <c:v>0</c:v>
                </c:pt>
                <c:pt idx="456" formatCode="0">
                  <c:v>0</c:v>
                </c:pt>
                <c:pt idx="457" formatCode="0">
                  <c:v>0</c:v>
                </c:pt>
                <c:pt idx="458" formatCode="0">
                  <c:v>0</c:v>
                </c:pt>
                <c:pt idx="459" formatCode="0">
                  <c:v>0</c:v>
                </c:pt>
                <c:pt idx="460" formatCode="0">
                  <c:v>0</c:v>
                </c:pt>
                <c:pt idx="461" formatCode="0">
                  <c:v>0</c:v>
                </c:pt>
                <c:pt idx="462" formatCode="0">
                  <c:v>0</c:v>
                </c:pt>
                <c:pt idx="464" formatCode="0">
                  <c:v>0</c:v>
                </c:pt>
                <c:pt idx="465" formatCode="0">
                  <c:v>0</c:v>
                </c:pt>
                <c:pt idx="466" formatCode="0">
                  <c:v>0</c:v>
                </c:pt>
                <c:pt idx="467" formatCode="0">
                  <c:v>0</c:v>
                </c:pt>
                <c:pt idx="468" formatCode="0">
                  <c:v>0</c:v>
                </c:pt>
                <c:pt idx="469" formatCode="0">
                  <c:v>0</c:v>
                </c:pt>
                <c:pt idx="470" formatCode="0">
                  <c:v>0</c:v>
                </c:pt>
                <c:pt idx="471" formatCode="0">
                  <c:v>0</c:v>
                </c:pt>
                <c:pt idx="473" formatCode="0">
                  <c:v>0</c:v>
                </c:pt>
                <c:pt idx="474" formatCode="0">
                  <c:v>0</c:v>
                </c:pt>
                <c:pt idx="475" formatCode="0">
                  <c:v>0</c:v>
                </c:pt>
                <c:pt idx="476" formatCode="0">
                  <c:v>0</c:v>
                </c:pt>
                <c:pt idx="477" formatCode="0">
                  <c:v>0</c:v>
                </c:pt>
                <c:pt idx="478" formatCode="0">
                  <c:v>0</c:v>
                </c:pt>
                <c:pt idx="479" formatCode="0">
                  <c:v>0</c:v>
                </c:pt>
                <c:pt idx="481" formatCode="0">
                  <c:v>0</c:v>
                </c:pt>
                <c:pt idx="482" formatCode="0">
                  <c:v>0</c:v>
                </c:pt>
                <c:pt idx="483" formatCode="0">
                  <c:v>0</c:v>
                </c:pt>
                <c:pt idx="484" formatCode="0">
                  <c:v>0</c:v>
                </c:pt>
                <c:pt idx="485" formatCode="0">
                  <c:v>0</c:v>
                </c:pt>
                <c:pt idx="486" formatCode="0">
                  <c:v>0</c:v>
                </c:pt>
                <c:pt idx="487" formatCode="0">
                  <c:v>0</c:v>
                </c:pt>
                <c:pt idx="489" formatCode="0">
                  <c:v>0</c:v>
                </c:pt>
                <c:pt idx="490" formatCode="0">
                  <c:v>0</c:v>
                </c:pt>
                <c:pt idx="491" formatCode="0">
                  <c:v>0</c:v>
                </c:pt>
                <c:pt idx="492" formatCode="0">
                  <c:v>0</c:v>
                </c:pt>
                <c:pt idx="493" formatCode="0">
                  <c:v>0</c:v>
                </c:pt>
                <c:pt idx="494" formatCode="0">
                  <c:v>0</c:v>
                </c:pt>
                <c:pt idx="495" formatCode="0">
                  <c:v>0</c:v>
                </c:pt>
                <c:pt idx="497" formatCode="0">
                  <c:v>0</c:v>
                </c:pt>
                <c:pt idx="498" formatCode="0">
                  <c:v>0</c:v>
                </c:pt>
                <c:pt idx="499" formatCode="0">
                  <c:v>0</c:v>
                </c:pt>
                <c:pt idx="500" formatCode="0">
                  <c:v>0</c:v>
                </c:pt>
                <c:pt idx="501" formatCode="0">
                  <c:v>0</c:v>
                </c:pt>
                <c:pt idx="502" formatCode="0">
                  <c:v>0</c:v>
                </c:pt>
                <c:pt idx="503" formatCode="0">
                  <c:v>0</c:v>
                </c:pt>
                <c:pt idx="505" formatCode="0">
                  <c:v>0</c:v>
                </c:pt>
                <c:pt idx="506" formatCode="0">
                  <c:v>0</c:v>
                </c:pt>
                <c:pt idx="507" formatCode="0">
                  <c:v>0</c:v>
                </c:pt>
                <c:pt idx="508" formatCode="0">
                  <c:v>0</c:v>
                </c:pt>
                <c:pt idx="509" formatCode="0">
                  <c:v>0</c:v>
                </c:pt>
                <c:pt idx="510" formatCode="0">
                  <c:v>0</c:v>
                </c:pt>
                <c:pt idx="511" formatCode="0">
                  <c:v>0</c:v>
                </c:pt>
                <c:pt idx="513" formatCode="0">
                  <c:v>0</c:v>
                </c:pt>
                <c:pt idx="514" formatCode="0">
                  <c:v>0</c:v>
                </c:pt>
                <c:pt idx="515" formatCode="0">
                  <c:v>0</c:v>
                </c:pt>
                <c:pt idx="516" formatCode="0">
                  <c:v>0</c:v>
                </c:pt>
                <c:pt idx="517" formatCode="0">
                  <c:v>0</c:v>
                </c:pt>
                <c:pt idx="518" formatCode="0">
                  <c:v>0</c:v>
                </c:pt>
                <c:pt idx="520">
                  <c:v>0</c:v>
                </c:pt>
                <c:pt idx="521">
                  <c:v>0</c:v>
                </c:pt>
                <c:pt idx="522">
                  <c:v>0</c:v>
                </c:pt>
                <c:pt idx="523">
                  <c:v>0</c:v>
                </c:pt>
                <c:pt idx="524">
                  <c:v>0</c:v>
                </c:pt>
                <c:pt idx="525">
                  <c:v>0</c:v>
                </c:pt>
                <c:pt idx="526" formatCode="0">
                  <c:v>0</c:v>
                </c:pt>
                <c:pt idx="528">
                  <c:v>0</c:v>
                </c:pt>
                <c:pt idx="529">
                  <c:v>0</c:v>
                </c:pt>
                <c:pt idx="530">
                  <c:v>0</c:v>
                </c:pt>
                <c:pt idx="531">
                  <c:v>0</c:v>
                </c:pt>
                <c:pt idx="532">
                  <c:v>0</c:v>
                </c:pt>
                <c:pt idx="533">
                  <c:v>0</c:v>
                </c:pt>
                <c:pt idx="534" formatCode="0">
                  <c:v>0</c:v>
                </c:pt>
                <c:pt idx="536" formatCode="_(* #,##0_);_(* \(#,##0\);_(* &quot;-&quot;??_);_(@_)">
                  <c:v>0</c:v>
                </c:pt>
                <c:pt idx="538">
                  <c:v>0</c:v>
                </c:pt>
                <c:pt idx="539">
                  <c:v>0</c:v>
                </c:pt>
                <c:pt idx="540">
                  <c:v>0</c:v>
                </c:pt>
                <c:pt idx="541">
                  <c:v>0</c:v>
                </c:pt>
                <c:pt idx="542">
                  <c:v>0</c:v>
                </c:pt>
                <c:pt idx="544">
                  <c:v>0</c:v>
                </c:pt>
                <c:pt idx="545">
                  <c:v>0</c:v>
                </c:pt>
                <c:pt idx="546">
                  <c:v>0</c:v>
                </c:pt>
                <c:pt idx="548">
                  <c:v>0</c:v>
                </c:pt>
                <c:pt idx="549">
                  <c:v>0</c:v>
                </c:pt>
                <c:pt idx="551" formatCode="_(* #,##0_);_(* \(#,##0\);_(* &quot;-&quot;??_);_(@_)">
                  <c:v>0</c:v>
                </c:pt>
                <c:pt idx="553">
                  <c:v>0</c:v>
                </c:pt>
                <c:pt idx="554">
                  <c:v>0</c:v>
                </c:pt>
              </c:numCache>
            </c:numRef>
          </c:val>
          <c:extLst>
            <c:ext xmlns:c16="http://schemas.microsoft.com/office/drawing/2014/chart" uri="{C3380CC4-5D6E-409C-BE32-E72D297353CC}">
              <c16:uniqueId val="{00000000-D0A8-43A3-B2BA-CC7AF60235AB}"/>
            </c:ext>
          </c:extLst>
        </c:ser>
        <c:ser>
          <c:idx val="1"/>
          <c:order val="1"/>
          <c:invertIfNegative val="0"/>
          <c:cat>
            <c:multiLvlStrRef>
              <c:f>'پلان گاری سالانه با نواقص'!$A$1:$K$579</c:f>
              <c:multiLvlStrCache>
                <c:ptCount val="1158"/>
                <c:lvl>
                  <c:pt idx="2">
                    <c:v>قیمت فی واحد</c:v>
                  </c:pt>
                  <c:pt idx="4">
                    <c:v>100000</c:v>
                  </c:pt>
                  <c:pt idx="5">
                    <c:v>800</c:v>
                  </c:pt>
                  <c:pt idx="6">
                    <c:v>0</c:v>
                  </c:pt>
                  <c:pt idx="8">
                    <c:v>قیمت فی واحد</c:v>
                  </c:pt>
                  <c:pt idx="9">
                    <c:v>100000</c:v>
                  </c:pt>
                  <c:pt idx="10">
                    <c:v>800</c:v>
                  </c:pt>
                  <c:pt idx="11">
                    <c:v>0</c:v>
                  </c:pt>
                  <c:pt idx="13">
                    <c:v>قیمت فی واحد</c:v>
                  </c:pt>
                  <c:pt idx="14">
                    <c:v>100000</c:v>
                  </c:pt>
                  <c:pt idx="15">
                    <c:v>800</c:v>
                  </c:pt>
                  <c:pt idx="16">
                    <c:v>700</c:v>
                  </c:pt>
                  <c:pt idx="19">
                    <c:v>قیمت فی واحد</c:v>
                  </c:pt>
                  <c:pt idx="20">
                    <c:v>100000</c:v>
                  </c:pt>
                  <c:pt idx="21">
                    <c:v>800</c:v>
                  </c:pt>
                  <c:pt idx="22">
                    <c:v>0</c:v>
                  </c:pt>
                  <c:pt idx="24">
                    <c:v>قیمت فی واحد</c:v>
                  </c:pt>
                  <c:pt idx="25">
                    <c:v>100000</c:v>
                  </c:pt>
                  <c:pt idx="26">
                    <c:v>800</c:v>
                  </c:pt>
                  <c:pt idx="27">
                    <c:v>0</c:v>
                  </c:pt>
                  <c:pt idx="29">
                    <c:v>قیمت فی واحد</c:v>
                  </c:pt>
                  <c:pt idx="30">
                    <c:v>144000</c:v>
                  </c:pt>
                  <c:pt idx="31">
                    <c:v>10000</c:v>
                  </c:pt>
                  <c:pt idx="33">
                    <c:v>قیمت فی واحد</c:v>
                  </c:pt>
                  <c:pt idx="34">
                    <c:v>144000</c:v>
                  </c:pt>
                  <c:pt idx="35">
                    <c:v>10000</c:v>
                  </c:pt>
                  <c:pt idx="37">
                    <c:v>قیمت فی واحد</c:v>
                  </c:pt>
                  <c:pt idx="38">
                    <c:v>144000</c:v>
                  </c:pt>
                  <c:pt idx="41">
                    <c:v>قیمت فی واحد</c:v>
                  </c:pt>
                  <c:pt idx="42">
                    <c:v>100000</c:v>
                  </c:pt>
                  <c:pt idx="43">
                    <c:v>1500</c:v>
                  </c:pt>
                  <c:pt idx="44">
                    <c:v>800</c:v>
                  </c:pt>
                  <c:pt idx="47">
                    <c:v>قیمت فی واحد</c:v>
                  </c:pt>
                  <c:pt idx="48">
                    <c:v>100000</c:v>
                  </c:pt>
                  <c:pt idx="49">
                    <c:v>700</c:v>
                  </c:pt>
                  <c:pt idx="50">
                    <c:v>250</c:v>
                  </c:pt>
                  <c:pt idx="51">
                    <c:v>800</c:v>
                  </c:pt>
                  <c:pt idx="52">
                    <c:v>10000</c:v>
                  </c:pt>
                  <c:pt idx="54">
                    <c:v>قیمت فی واحد</c:v>
                  </c:pt>
                  <c:pt idx="55">
                    <c:v>100000</c:v>
                  </c:pt>
                  <c:pt idx="56">
                    <c:v>800</c:v>
                  </c:pt>
                  <c:pt idx="59">
                    <c:v>قیمت فی واحد</c:v>
                  </c:pt>
                  <c:pt idx="60">
                    <c:v>100000</c:v>
                  </c:pt>
                  <c:pt idx="61">
                    <c:v>800</c:v>
                  </c:pt>
                  <c:pt idx="64">
                    <c:v>قیمت فی واحد</c:v>
                  </c:pt>
                  <c:pt idx="65">
                    <c:v>60000</c:v>
                  </c:pt>
                  <c:pt idx="70">
                    <c:v>نورم کار</c:v>
                  </c:pt>
                  <c:pt idx="77">
                    <c:v>4000</c:v>
                  </c:pt>
                  <c:pt idx="79">
                    <c:v>125</c:v>
                  </c:pt>
                  <c:pt idx="80">
                    <c:v>250</c:v>
                  </c:pt>
                  <c:pt idx="86">
                    <c:v>قیمت فی واحد</c:v>
                  </c:pt>
                  <c:pt idx="91">
                    <c:v>500</c:v>
                  </c:pt>
                  <c:pt idx="92">
                    <c:v>300</c:v>
                  </c:pt>
                  <c:pt idx="93">
                    <c:v>100</c:v>
                  </c:pt>
                  <c:pt idx="95">
                    <c:v>80</c:v>
                  </c:pt>
                  <c:pt idx="96">
                    <c:v>80</c:v>
                  </c:pt>
                  <c:pt idx="98">
                    <c:v>50</c:v>
                  </c:pt>
                  <c:pt idx="99">
                    <c:v>100</c:v>
                  </c:pt>
                  <c:pt idx="101">
                    <c:v>4000</c:v>
                  </c:pt>
                  <c:pt idx="103">
                    <c:v>100</c:v>
                  </c:pt>
                  <c:pt idx="106">
                    <c:v>125</c:v>
                  </c:pt>
                  <c:pt idx="107">
                    <c:v>250</c:v>
                  </c:pt>
                  <c:pt idx="114">
                    <c:v>قیمت فی واحد</c:v>
                  </c:pt>
                  <c:pt idx="120">
                    <c:v>4000</c:v>
                  </c:pt>
                  <c:pt idx="122">
                    <c:v>250</c:v>
                  </c:pt>
                  <c:pt idx="123">
                    <c:v>250</c:v>
                  </c:pt>
                  <c:pt idx="129">
                    <c:v>قیمت فی واحد</c:v>
                  </c:pt>
                  <c:pt idx="132">
                    <c:v>500</c:v>
                  </c:pt>
                  <c:pt idx="133">
                    <c:v>300</c:v>
                  </c:pt>
                  <c:pt idx="134">
                    <c:v>100</c:v>
                  </c:pt>
                  <c:pt idx="136">
                    <c:v>80</c:v>
                  </c:pt>
                  <c:pt idx="137">
                    <c:v>80</c:v>
                  </c:pt>
                  <c:pt idx="139">
                    <c:v>50</c:v>
                  </c:pt>
                  <c:pt idx="140">
                    <c:v>100</c:v>
                  </c:pt>
                  <c:pt idx="142">
                    <c:v>4000</c:v>
                  </c:pt>
                  <c:pt idx="144">
                    <c:v>100</c:v>
                  </c:pt>
                  <c:pt idx="147">
                    <c:v>125</c:v>
                  </c:pt>
                  <c:pt idx="148">
                    <c:v>250</c:v>
                  </c:pt>
                  <c:pt idx="149">
                    <c:v>250</c:v>
                  </c:pt>
                  <c:pt idx="157">
                    <c:v>قیمت فی واحد</c:v>
                  </c:pt>
                  <c:pt idx="163">
                    <c:v>4000</c:v>
                  </c:pt>
                  <c:pt idx="165">
                    <c:v>125</c:v>
                  </c:pt>
                  <c:pt idx="166">
                    <c:v>250</c:v>
                  </c:pt>
                  <c:pt idx="172">
                    <c:v>قیمت فی واحد</c:v>
                  </c:pt>
                  <c:pt idx="176">
                    <c:v>100</c:v>
                  </c:pt>
                  <c:pt idx="180">
                    <c:v>قیمت فی واحد</c:v>
                  </c:pt>
                  <c:pt idx="184">
                    <c:v>100</c:v>
                  </c:pt>
                  <c:pt idx="187">
                    <c:v>قیمت فی واحد</c:v>
                  </c:pt>
                  <c:pt idx="193">
                    <c:v>500</c:v>
                  </c:pt>
                  <c:pt idx="194">
                    <c:v>300</c:v>
                  </c:pt>
                  <c:pt idx="195">
                    <c:v>100</c:v>
                  </c:pt>
                  <c:pt idx="197">
                    <c:v>80</c:v>
                  </c:pt>
                  <c:pt idx="198">
                    <c:v>80</c:v>
                  </c:pt>
                  <c:pt idx="200">
                    <c:v>50</c:v>
                  </c:pt>
                  <c:pt idx="201">
                    <c:v>100</c:v>
                  </c:pt>
                  <c:pt idx="203">
                    <c:v>4000</c:v>
                  </c:pt>
                  <c:pt idx="205">
                    <c:v>100</c:v>
                  </c:pt>
                  <c:pt idx="208">
                    <c:v>125</c:v>
                  </c:pt>
                  <c:pt idx="210">
                    <c:v>250</c:v>
                  </c:pt>
                  <c:pt idx="216">
                    <c:v>قیمت فی واحد</c:v>
                  </c:pt>
                  <c:pt idx="220">
                    <c:v>500</c:v>
                  </c:pt>
                  <c:pt idx="221">
                    <c:v>300</c:v>
                  </c:pt>
                  <c:pt idx="222">
                    <c:v>100</c:v>
                  </c:pt>
                  <c:pt idx="224">
                    <c:v>80</c:v>
                  </c:pt>
                  <c:pt idx="225">
                    <c:v>80</c:v>
                  </c:pt>
                  <c:pt idx="227">
                    <c:v>50</c:v>
                  </c:pt>
                  <c:pt idx="228">
                    <c:v>100</c:v>
                  </c:pt>
                  <c:pt idx="230">
                    <c:v>4000</c:v>
                  </c:pt>
                  <c:pt idx="232">
                    <c:v>100</c:v>
                  </c:pt>
                  <c:pt idx="237">
                    <c:v>قیمت فی واحد</c:v>
                  </c:pt>
                  <c:pt idx="242">
                    <c:v>4000</c:v>
                  </c:pt>
                  <c:pt idx="245">
                    <c:v>قیمت فی واحد</c:v>
                  </c:pt>
                  <c:pt idx="250">
                    <c:v>4000</c:v>
                  </c:pt>
                  <c:pt idx="253">
                    <c:v>قیمت فی واحد</c:v>
                  </c:pt>
                  <c:pt idx="258">
                    <c:v>4000</c:v>
                  </c:pt>
                  <c:pt idx="261">
                    <c:v>قیمت فی واحد</c:v>
                  </c:pt>
                  <c:pt idx="266">
                    <c:v>4000</c:v>
                  </c:pt>
                  <c:pt idx="269">
                    <c:v>قیمت فی واحد</c:v>
                  </c:pt>
                  <c:pt idx="274">
                    <c:v>4000</c:v>
                  </c:pt>
                  <c:pt idx="276">
                    <c:v>125</c:v>
                  </c:pt>
                  <c:pt idx="277">
                    <c:v>250</c:v>
                  </c:pt>
                  <c:pt idx="283">
                    <c:v>قیمت فی واحد</c:v>
                  </c:pt>
                  <c:pt idx="288">
                    <c:v>4000</c:v>
                  </c:pt>
                  <c:pt idx="290">
                    <c:v>125</c:v>
                  </c:pt>
                  <c:pt idx="291">
                    <c:v>250</c:v>
                  </c:pt>
                  <c:pt idx="297">
                    <c:v>11</c:v>
                  </c:pt>
                  <c:pt idx="298">
                    <c:v>12</c:v>
                  </c:pt>
                  <c:pt idx="302">
                    <c:v>قیمت فی واحد</c:v>
                  </c:pt>
                  <c:pt idx="538">
                    <c:v>قیمت فی واحد</c:v>
                  </c:pt>
                  <c:pt idx="539">
                    <c:v>32000</c:v>
                  </c:pt>
                  <c:pt idx="540">
                    <c:v>80000</c:v>
                  </c:pt>
                  <c:pt idx="541">
                    <c:v>2500</c:v>
                  </c:pt>
                  <c:pt idx="542">
                    <c:v>2147680</c:v>
                  </c:pt>
                  <c:pt idx="544">
                    <c:v>قیمت فی واحد</c:v>
                  </c:pt>
                  <c:pt idx="545">
                    <c:v>12000</c:v>
                  </c:pt>
                  <c:pt idx="546">
                    <c:v>8000</c:v>
                  </c:pt>
                  <c:pt idx="548">
                    <c:v>قیمت فی واحد</c:v>
                  </c:pt>
                  <c:pt idx="549">
                    <c:v>9115</c:v>
                  </c:pt>
                  <c:pt idx="557">
                    <c:v>قیمت به دالر </c:v>
                  </c:pt>
                  <c:pt idx="558">
                    <c:v> 201,492.54 </c:v>
                  </c:pt>
                  <c:pt idx="559">
                    <c:v> 260,591.47 </c:v>
                  </c:pt>
                  <c:pt idx="560">
                    <c:v> 389,259.12 </c:v>
                  </c:pt>
                  <c:pt idx="561">
                    <c:v> 114,546.39 </c:v>
                  </c:pt>
                  <c:pt idx="562">
                    <c:v> 34,110.48 </c:v>
                  </c:pt>
                  <c:pt idx="563">
                    <c:v> 1,000,000 </c:v>
                  </c:pt>
                  <c:pt idx="582">
                    <c:v>تاریخ ختم </c:v>
                  </c:pt>
                  <c:pt idx="583">
                    <c:v>1397/9/30</c:v>
                  </c:pt>
                  <c:pt idx="584">
                    <c:v>1397/9/30</c:v>
                  </c:pt>
                  <c:pt idx="585">
                    <c:v>1397/9/30</c:v>
                  </c:pt>
                  <c:pt idx="587">
                    <c:v>تاریخ ختم </c:v>
                  </c:pt>
                  <c:pt idx="588">
                    <c:v>1397/9/30</c:v>
                  </c:pt>
                  <c:pt idx="589">
                    <c:v>1397/9/30</c:v>
                  </c:pt>
                  <c:pt idx="590">
                    <c:v>1397/9/30</c:v>
                  </c:pt>
                  <c:pt idx="593">
                    <c:v>1397/9/30</c:v>
                  </c:pt>
                  <c:pt idx="594">
                    <c:v>1397/9/30</c:v>
                  </c:pt>
                  <c:pt idx="595">
                    <c:v>1397/9/30</c:v>
                  </c:pt>
                  <c:pt idx="596">
                    <c:v>1397/9/30</c:v>
                  </c:pt>
                  <c:pt idx="598">
                    <c:v>تاریخ ختم </c:v>
                  </c:pt>
                  <c:pt idx="599">
                    <c:v>1397/9/30</c:v>
                  </c:pt>
                  <c:pt idx="600">
                    <c:v>1397/9/30</c:v>
                  </c:pt>
                  <c:pt idx="601">
                    <c:v>1397/9/30</c:v>
                  </c:pt>
                  <c:pt idx="603">
                    <c:v>تاریخ ختم </c:v>
                  </c:pt>
                  <c:pt idx="604">
                    <c:v>1397/9/30</c:v>
                  </c:pt>
                  <c:pt idx="605">
                    <c:v>1397/9/30</c:v>
                  </c:pt>
                  <c:pt idx="606">
                    <c:v>1397/9/30</c:v>
                  </c:pt>
                  <c:pt idx="608">
                    <c:v>تاریخ ختم </c:v>
                  </c:pt>
                  <c:pt idx="609">
                    <c:v>1397/9/30</c:v>
                  </c:pt>
                  <c:pt idx="610">
                    <c:v>1397/9/30</c:v>
                  </c:pt>
                  <c:pt idx="612">
                    <c:v>تاریخ ختم </c:v>
                  </c:pt>
                  <c:pt idx="613">
                    <c:v>1397/9/30</c:v>
                  </c:pt>
                  <c:pt idx="614">
                    <c:v>1397/9/30</c:v>
                  </c:pt>
                  <c:pt idx="616">
                    <c:v>تاریخ ختم </c:v>
                  </c:pt>
                  <c:pt idx="617">
                    <c:v>1397/9/30</c:v>
                  </c:pt>
                  <c:pt idx="618">
                    <c:v>1397/9/30</c:v>
                  </c:pt>
                  <c:pt idx="620">
                    <c:v>تاریخ ختم </c:v>
                  </c:pt>
                  <c:pt idx="621">
                    <c:v>1397/9/30</c:v>
                  </c:pt>
                  <c:pt idx="622">
                    <c:v>1397/9/30</c:v>
                  </c:pt>
                  <c:pt idx="623">
                    <c:v>1397/9/30</c:v>
                  </c:pt>
                  <c:pt idx="624">
                    <c:v>1397/9/30</c:v>
                  </c:pt>
                  <c:pt idx="626">
                    <c:v>تاریخ ختم </c:v>
                  </c:pt>
                  <c:pt idx="627">
                    <c:v>1397/9/30</c:v>
                  </c:pt>
                  <c:pt idx="628">
                    <c:v>1397/9/30</c:v>
                  </c:pt>
                  <c:pt idx="629">
                    <c:v>1397/9/30</c:v>
                  </c:pt>
                  <c:pt idx="630">
                    <c:v>1397/9/30</c:v>
                  </c:pt>
                  <c:pt idx="631">
                    <c:v>1397/9/30</c:v>
                  </c:pt>
                  <c:pt idx="633">
                    <c:v>تاریخ ختم </c:v>
                  </c:pt>
                  <c:pt idx="634">
                    <c:v>1397/9/30</c:v>
                  </c:pt>
                  <c:pt idx="635">
                    <c:v>1397/9/30</c:v>
                  </c:pt>
                  <c:pt idx="636">
                    <c:v>1397/9/30</c:v>
                  </c:pt>
                  <c:pt idx="638">
                    <c:v>تاریخ ختم </c:v>
                  </c:pt>
                  <c:pt idx="639">
                    <c:v>1397/9/30</c:v>
                  </c:pt>
                  <c:pt idx="640">
                    <c:v>1397/9/30</c:v>
                  </c:pt>
                  <c:pt idx="641">
                    <c:v>1397/9/30</c:v>
                  </c:pt>
                  <c:pt idx="643">
                    <c:v>تاریخ ختم </c:v>
                  </c:pt>
                  <c:pt idx="644">
                    <c:v>1397/9/30</c:v>
                  </c:pt>
                  <c:pt idx="645">
                    <c:v>1397/9/30</c:v>
                  </c:pt>
                  <c:pt idx="647">
                    <c:v> -   </c:v>
                  </c:pt>
                  <c:pt idx="650">
                    <c:v>تاریخ ختم</c:v>
                  </c:pt>
                  <c:pt idx="651">
                    <c:v>30دلو</c:v>
                  </c:pt>
                  <c:pt idx="652">
                    <c:v>30حمل</c:v>
                  </c:pt>
                  <c:pt idx="655">
                    <c:v>30قوس </c:v>
                  </c:pt>
                  <c:pt idx="656">
                    <c:v>30قوس </c:v>
                  </c:pt>
                  <c:pt idx="658">
                    <c:v>30عقرب</c:v>
                  </c:pt>
                  <c:pt idx="659">
                    <c:v>30قوس</c:v>
                  </c:pt>
                  <c:pt idx="660">
                    <c:v>30سنبله </c:v>
                  </c:pt>
                  <c:pt idx="661">
                    <c:v>30سنبله </c:v>
                  </c:pt>
                  <c:pt idx="662">
                    <c:v>30عقرب</c:v>
                  </c:pt>
                  <c:pt idx="663">
                    <c:v>30قوس</c:v>
                  </c:pt>
                  <c:pt idx="665">
                    <c:v>تاریخ ختم </c:v>
                  </c:pt>
                  <c:pt idx="667">
                    <c:v>30قوس</c:v>
                  </c:pt>
                  <c:pt idx="668">
                    <c:v>30قوس</c:v>
                  </c:pt>
                  <c:pt idx="669">
                    <c:v>30قوس</c:v>
                  </c:pt>
                  <c:pt idx="670">
                    <c:v>15حوت</c:v>
                  </c:pt>
                  <c:pt idx="671">
                    <c:v>15حوت</c:v>
                  </c:pt>
                  <c:pt idx="672">
                    <c:v>30عقرب</c:v>
                  </c:pt>
                  <c:pt idx="673">
                    <c:v>30دلو</c:v>
                  </c:pt>
                  <c:pt idx="674">
                    <c:v>30عقرب</c:v>
                  </c:pt>
                  <c:pt idx="675">
                    <c:v>30عقرب</c:v>
                  </c:pt>
                  <c:pt idx="676">
                    <c:v>15قوس</c:v>
                  </c:pt>
                  <c:pt idx="677">
                    <c:v>15قوس</c:v>
                  </c:pt>
                  <c:pt idx="678">
                    <c:v>15حوت</c:v>
                  </c:pt>
                  <c:pt idx="679">
                    <c:v>30جدی</c:v>
                  </c:pt>
                  <c:pt idx="680">
                    <c:v>30حوت</c:v>
                  </c:pt>
                  <c:pt idx="681">
                    <c:v>30حوت</c:v>
                  </c:pt>
                  <c:pt idx="682">
                    <c:v>30سنبله </c:v>
                  </c:pt>
                  <c:pt idx="683">
                    <c:v>30میزان</c:v>
                  </c:pt>
                  <c:pt idx="685">
                    <c:v>30عقرب</c:v>
                  </c:pt>
                  <c:pt idx="686">
                    <c:v>30قوس</c:v>
                  </c:pt>
                  <c:pt idx="687">
                    <c:v>30سنبله </c:v>
                  </c:pt>
                  <c:pt idx="688">
                    <c:v>30سنبله </c:v>
                  </c:pt>
                  <c:pt idx="689">
                    <c:v>30عقرب</c:v>
                  </c:pt>
                  <c:pt idx="690">
                    <c:v>30قوس</c:v>
                  </c:pt>
                  <c:pt idx="691">
                    <c:v>30قوس</c:v>
                  </c:pt>
                  <c:pt idx="693">
                    <c:v>تاریخ ختم </c:v>
                  </c:pt>
                  <c:pt idx="694">
                    <c:v>30دلو</c:v>
                  </c:pt>
                  <c:pt idx="695">
                    <c:v>30حمل</c:v>
                  </c:pt>
                  <c:pt idx="696">
                    <c:v>30 قوس</c:v>
                  </c:pt>
                  <c:pt idx="697">
                    <c:v>30 قوس</c:v>
                  </c:pt>
                  <c:pt idx="698">
                    <c:v>30قوس </c:v>
                  </c:pt>
                  <c:pt idx="699">
                    <c:v>30قوس </c:v>
                  </c:pt>
                  <c:pt idx="701">
                    <c:v>30عقرب</c:v>
                  </c:pt>
                  <c:pt idx="702">
                    <c:v>30قوس</c:v>
                  </c:pt>
                  <c:pt idx="703">
                    <c:v>30سنبله </c:v>
                  </c:pt>
                  <c:pt idx="704">
                    <c:v>30سنبله </c:v>
                  </c:pt>
                  <c:pt idx="705">
                    <c:v>30عقرب</c:v>
                  </c:pt>
                  <c:pt idx="706">
                    <c:v>30قوس</c:v>
                  </c:pt>
                  <c:pt idx="708">
                    <c:v>تاریخ ختم </c:v>
                  </c:pt>
                  <c:pt idx="709">
                    <c:v>30قوس</c:v>
                  </c:pt>
                  <c:pt idx="710">
                    <c:v>30قوس</c:v>
                  </c:pt>
                  <c:pt idx="711">
                    <c:v>15حوت</c:v>
                  </c:pt>
                  <c:pt idx="712">
                    <c:v>15حوت</c:v>
                  </c:pt>
                  <c:pt idx="713">
                    <c:v>30عقرب</c:v>
                  </c:pt>
                  <c:pt idx="714">
                    <c:v>30دلو</c:v>
                  </c:pt>
                  <c:pt idx="715">
                    <c:v>30عقرب</c:v>
                  </c:pt>
                  <c:pt idx="716">
                    <c:v>30عقرب</c:v>
                  </c:pt>
                  <c:pt idx="717">
                    <c:v>15قوس</c:v>
                  </c:pt>
                  <c:pt idx="718">
                    <c:v>15قوس</c:v>
                  </c:pt>
                  <c:pt idx="719">
                    <c:v>15حوت</c:v>
                  </c:pt>
                  <c:pt idx="720">
                    <c:v>30جدی</c:v>
                  </c:pt>
                  <c:pt idx="721">
                    <c:v>30حوت</c:v>
                  </c:pt>
                  <c:pt idx="722">
                    <c:v>30حوت</c:v>
                  </c:pt>
                  <c:pt idx="723">
                    <c:v>30سنبله </c:v>
                  </c:pt>
                  <c:pt idx="724">
                    <c:v>30میزان</c:v>
                  </c:pt>
                  <c:pt idx="726">
                    <c:v>30عقرب</c:v>
                  </c:pt>
                  <c:pt idx="727">
                    <c:v>30عقرب</c:v>
                  </c:pt>
                  <c:pt idx="728">
                    <c:v>30قوس</c:v>
                  </c:pt>
                  <c:pt idx="729">
                    <c:v>30سنبله </c:v>
                  </c:pt>
                  <c:pt idx="730">
                    <c:v>30سنبله </c:v>
                  </c:pt>
                  <c:pt idx="731">
                    <c:v>30عقرب</c:v>
                  </c:pt>
                  <c:pt idx="732">
                    <c:v>30عقرب</c:v>
                  </c:pt>
                  <c:pt idx="733">
                    <c:v>30قوس</c:v>
                  </c:pt>
                  <c:pt idx="734">
                    <c:v>30قوس</c:v>
                  </c:pt>
                  <c:pt idx="736">
                    <c:v>تاریخ ختم </c:v>
                  </c:pt>
                  <c:pt idx="737">
                    <c:v>30دلو</c:v>
                  </c:pt>
                  <c:pt idx="738">
                    <c:v>30حمل</c:v>
                  </c:pt>
                  <c:pt idx="739">
                    <c:v>30 قوس</c:v>
                  </c:pt>
                  <c:pt idx="740">
                    <c:v>30قوس</c:v>
                  </c:pt>
                  <c:pt idx="741">
                    <c:v>30قوس </c:v>
                  </c:pt>
                  <c:pt idx="742">
                    <c:v>30قوس </c:v>
                  </c:pt>
                  <c:pt idx="744">
                    <c:v>30عقرب</c:v>
                  </c:pt>
                  <c:pt idx="745">
                    <c:v>30قوس</c:v>
                  </c:pt>
                  <c:pt idx="746">
                    <c:v>30سنبله </c:v>
                  </c:pt>
                  <c:pt idx="747">
                    <c:v>30سنبله </c:v>
                  </c:pt>
                  <c:pt idx="748">
                    <c:v>30عقرب</c:v>
                  </c:pt>
                  <c:pt idx="749">
                    <c:v>30قوس</c:v>
                  </c:pt>
                  <c:pt idx="751">
                    <c:v>تاریخ ختم </c:v>
                  </c:pt>
                  <c:pt idx="752">
                    <c:v>30قوس</c:v>
                  </c:pt>
                  <c:pt idx="753">
                    <c:v>30قوس</c:v>
                  </c:pt>
                  <c:pt idx="754">
                    <c:v>30قوس</c:v>
                  </c:pt>
                  <c:pt idx="755">
                    <c:v>30سنبله </c:v>
                  </c:pt>
                  <c:pt idx="756">
                    <c:v>30میزان</c:v>
                  </c:pt>
                  <c:pt idx="757">
                    <c:v>30قوس</c:v>
                  </c:pt>
                  <c:pt idx="759">
                    <c:v>تاریخ ختم </c:v>
                  </c:pt>
                  <c:pt idx="760">
                    <c:v>30قوس</c:v>
                  </c:pt>
                  <c:pt idx="761">
                    <c:v>30قوس</c:v>
                  </c:pt>
                  <c:pt idx="762">
                    <c:v>30میزان</c:v>
                  </c:pt>
                  <c:pt idx="763">
                    <c:v>30سنبله </c:v>
                  </c:pt>
                  <c:pt idx="764">
                    <c:v>30قوس</c:v>
                  </c:pt>
                  <c:pt idx="766">
                    <c:v>تاریخ ختم </c:v>
                  </c:pt>
                  <c:pt idx="767">
                    <c:v>30قوس</c:v>
                  </c:pt>
                  <c:pt idx="768">
                    <c:v>30قوس</c:v>
                  </c:pt>
                  <c:pt idx="769">
                    <c:v>30حمل</c:v>
                  </c:pt>
                  <c:pt idx="770">
                    <c:v>30قوس</c:v>
                  </c:pt>
                  <c:pt idx="771">
                    <c:v>30قوس</c:v>
                  </c:pt>
                  <c:pt idx="772">
                    <c:v>15حوت</c:v>
                  </c:pt>
                  <c:pt idx="773">
                    <c:v>15حوت</c:v>
                  </c:pt>
                  <c:pt idx="774">
                    <c:v>30عقرب</c:v>
                  </c:pt>
                  <c:pt idx="775">
                    <c:v>30دلو</c:v>
                  </c:pt>
                  <c:pt idx="776">
                    <c:v>30عقرب</c:v>
                  </c:pt>
                  <c:pt idx="777">
                    <c:v>30عقرب</c:v>
                  </c:pt>
                  <c:pt idx="778">
                    <c:v>15قوس</c:v>
                  </c:pt>
                  <c:pt idx="779">
                    <c:v>15قوس</c:v>
                  </c:pt>
                  <c:pt idx="780">
                    <c:v>15حوت</c:v>
                  </c:pt>
                  <c:pt idx="781">
                    <c:v>30جدی</c:v>
                  </c:pt>
                  <c:pt idx="782">
                    <c:v>30حوت</c:v>
                  </c:pt>
                  <c:pt idx="783">
                    <c:v>30حوت</c:v>
                  </c:pt>
                  <c:pt idx="784">
                    <c:v>30سنبله </c:v>
                  </c:pt>
                  <c:pt idx="785">
                    <c:v>30میزان</c:v>
                  </c:pt>
                  <c:pt idx="786">
                    <c:v>30قوس</c:v>
                  </c:pt>
                  <c:pt idx="787">
                    <c:v>30عقرب</c:v>
                  </c:pt>
                  <c:pt idx="788">
                    <c:v>30قوس</c:v>
                  </c:pt>
                  <c:pt idx="789">
                    <c:v>30سنبله </c:v>
                  </c:pt>
                  <c:pt idx="790">
                    <c:v>30سنبله </c:v>
                  </c:pt>
                  <c:pt idx="791">
                    <c:v>30عقرب</c:v>
                  </c:pt>
                  <c:pt idx="792">
                    <c:v>30قوس</c:v>
                  </c:pt>
                  <c:pt idx="793">
                    <c:v>30قوس</c:v>
                  </c:pt>
                  <c:pt idx="795">
                    <c:v>تاریخ ختم </c:v>
                  </c:pt>
                  <c:pt idx="796">
                    <c:v>30قوس</c:v>
                  </c:pt>
                  <c:pt idx="797">
                    <c:v>30 قوس</c:v>
                  </c:pt>
                  <c:pt idx="798">
                    <c:v>30قوس</c:v>
                  </c:pt>
                  <c:pt idx="799">
                    <c:v>15حوت</c:v>
                  </c:pt>
                  <c:pt idx="800">
                    <c:v>15حوت</c:v>
                  </c:pt>
                  <c:pt idx="801">
                    <c:v>30عقرب</c:v>
                  </c:pt>
                  <c:pt idx="802">
                    <c:v>30دلو</c:v>
                  </c:pt>
                  <c:pt idx="803">
                    <c:v>30عقرب</c:v>
                  </c:pt>
                  <c:pt idx="804">
                    <c:v>30عقرب</c:v>
                  </c:pt>
                  <c:pt idx="805">
                    <c:v>15قوس</c:v>
                  </c:pt>
                  <c:pt idx="806">
                    <c:v>15قوس</c:v>
                  </c:pt>
                  <c:pt idx="807">
                    <c:v>15حوت</c:v>
                  </c:pt>
                  <c:pt idx="808">
                    <c:v>30جدی</c:v>
                  </c:pt>
                  <c:pt idx="809">
                    <c:v>30حوت</c:v>
                  </c:pt>
                  <c:pt idx="810">
                    <c:v>30حوت</c:v>
                  </c:pt>
                  <c:pt idx="811">
                    <c:v>30سنبله </c:v>
                  </c:pt>
                  <c:pt idx="812">
                    <c:v>30میزان</c:v>
                  </c:pt>
                  <c:pt idx="813">
                    <c:v>30قوس</c:v>
                  </c:pt>
                  <c:pt idx="814">
                    <c:v>30قوس</c:v>
                  </c:pt>
                  <c:pt idx="816">
                    <c:v>تاریخ ختم </c:v>
                  </c:pt>
                  <c:pt idx="817">
                    <c:v>30دلو</c:v>
                  </c:pt>
                  <c:pt idx="818">
                    <c:v>30حمل</c:v>
                  </c:pt>
                  <c:pt idx="819">
                    <c:v>31 قوس</c:v>
                  </c:pt>
                  <c:pt idx="820">
                    <c:v>30قوس </c:v>
                  </c:pt>
                  <c:pt idx="821">
                    <c:v>30قوس </c:v>
                  </c:pt>
                  <c:pt idx="822">
                    <c:v>30قوس</c:v>
                  </c:pt>
                  <c:pt idx="824">
                    <c:v>تاریخ ختم </c:v>
                  </c:pt>
                  <c:pt idx="825">
                    <c:v>30دلو</c:v>
                  </c:pt>
                  <c:pt idx="826">
                    <c:v>30حمل</c:v>
                  </c:pt>
                  <c:pt idx="827">
                    <c:v>31 قوس</c:v>
                  </c:pt>
                  <c:pt idx="828">
                    <c:v>30قوس </c:v>
                  </c:pt>
                  <c:pt idx="829">
                    <c:v>30قوس </c:v>
                  </c:pt>
                  <c:pt idx="830">
                    <c:v>30قوس</c:v>
                  </c:pt>
                  <c:pt idx="832">
                    <c:v>تاریخ ختم </c:v>
                  </c:pt>
                  <c:pt idx="833">
                    <c:v>30دلو</c:v>
                  </c:pt>
                  <c:pt idx="834">
                    <c:v>30حمل</c:v>
                  </c:pt>
                  <c:pt idx="835">
                    <c:v>31 قوس</c:v>
                  </c:pt>
                  <c:pt idx="836">
                    <c:v>30قوس </c:v>
                  </c:pt>
                  <c:pt idx="837">
                    <c:v>30قوس </c:v>
                  </c:pt>
                  <c:pt idx="838">
                    <c:v>30قوس</c:v>
                  </c:pt>
                  <c:pt idx="840">
                    <c:v>تاریخ ختم </c:v>
                  </c:pt>
                  <c:pt idx="841">
                    <c:v>30دلو</c:v>
                  </c:pt>
                  <c:pt idx="842">
                    <c:v>30حمل</c:v>
                  </c:pt>
                  <c:pt idx="843">
                    <c:v>31 قوس</c:v>
                  </c:pt>
                  <c:pt idx="844">
                    <c:v>30قوس </c:v>
                  </c:pt>
                  <c:pt idx="845">
                    <c:v>30قوس </c:v>
                  </c:pt>
                  <c:pt idx="846">
                    <c:v>30قوس</c:v>
                  </c:pt>
                  <c:pt idx="848">
                    <c:v>تاریخ ختم </c:v>
                  </c:pt>
                  <c:pt idx="849">
                    <c:v>30دلو</c:v>
                  </c:pt>
                  <c:pt idx="850">
                    <c:v>30حمل</c:v>
                  </c:pt>
                  <c:pt idx="851">
                    <c:v>31 قوس</c:v>
                  </c:pt>
                  <c:pt idx="852">
                    <c:v>30قوس </c:v>
                  </c:pt>
                  <c:pt idx="853">
                    <c:v>30قوس </c:v>
                  </c:pt>
                  <c:pt idx="855">
                    <c:v>30عقرب</c:v>
                  </c:pt>
                  <c:pt idx="856">
                    <c:v>30قوس</c:v>
                  </c:pt>
                  <c:pt idx="857">
                    <c:v>30سنبله </c:v>
                  </c:pt>
                  <c:pt idx="858">
                    <c:v>30سنبله </c:v>
                  </c:pt>
                  <c:pt idx="859">
                    <c:v>30عقرب</c:v>
                  </c:pt>
                  <c:pt idx="860">
                    <c:v>30قوس</c:v>
                  </c:pt>
                  <c:pt idx="862">
                    <c:v>تاریخ ختم </c:v>
                  </c:pt>
                  <c:pt idx="863">
                    <c:v>30دلو</c:v>
                  </c:pt>
                  <c:pt idx="864">
                    <c:v>30حمل</c:v>
                  </c:pt>
                  <c:pt idx="865">
                    <c:v>31 قوس</c:v>
                  </c:pt>
                  <c:pt idx="866">
                    <c:v>30قوس </c:v>
                  </c:pt>
                  <c:pt idx="867">
                    <c:v>30قوس </c:v>
                  </c:pt>
                  <c:pt idx="869">
                    <c:v>30عقرب</c:v>
                  </c:pt>
                  <c:pt idx="870">
                    <c:v>30قوس</c:v>
                  </c:pt>
                  <c:pt idx="871">
                    <c:v>30سنبله </c:v>
                  </c:pt>
                  <c:pt idx="872">
                    <c:v>30سنبله </c:v>
                  </c:pt>
                  <c:pt idx="873">
                    <c:v>30عقرب</c:v>
                  </c:pt>
                  <c:pt idx="874">
                    <c:v>30قوس</c:v>
                  </c:pt>
                  <c:pt idx="878">
                    <c:v> -   </c:v>
                  </c:pt>
                  <c:pt idx="879">
                    <c:v> -   </c:v>
                  </c:pt>
                  <c:pt idx="881">
                    <c:v>تاریخ ختم </c:v>
                  </c:pt>
                  <c:pt idx="882">
                    <c:v>30قوس</c:v>
                  </c:pt>
                  <c:pt idx="883">
                    <c:v>30قوس</c:v>
                  </c:pt>
                  <c:pt idx="884">
                    <c:v>30قوس</c:v>
                  </c:pt>
                  <c:pt idx="885">
                    <c:v>30قوس</c:v>
                  </c:pt>
                  <c:pt idx="886">
                    <c:v>30قوس</c:v>
                  </c:pt>
                  <c:pt idx="887">
                    <c:v>30قوس</c:v>
                  </c:pt>
                  <c:pt idx="888">
                    <c:v>30قوس</c:v>
                  </c:pt>
                  <c:pt idx="890">
                    <c:v>30قوس</c:v>
                  </c:pt>
                  <c:pt idx="891">
                    <c:v>30قوس</c:v>
                  </c:pt>
                  <c:pt idx="892">
                    <c:v>30قوس</c:v>
                  </c:pt>
                  <c:pt idx="893">
                    <c:v>30قوس</c:v>
                  </c:pt>
                  <c:pt idx="894">
                    <c:v>30قوس</c:v>
                  </c:pt>
                  <c:pt idx="895">
                    <c:v>30قوس</c:v>
                  </c:pt>
                  <c:pt idx="896">
                    <c:v>30قوس</c:v>
                  </c:pt>
                  <c:pt idx="898">
                    <c:v>30قوس</c:v>
                  </c:pt>
                  <c:pt idx="899">
                    <c:v>30قوس</c:v>
                  </c:pt>
                  <c:pt idx="900">
                    <c:v>30قوس</c:v>
                  </c:pt>
                  <c:pt idx="901">
                    <c:v>30قوس</c:v>
                  </c:pt>
                  <c:pt idx="902">
                    <c:v>30قوس</c:v>
                  </c:pt>
                  <c:pt idx="903">
                    <c:v>30قوس</c:v>
                  </c:pt>
                  <c:pt idx="904">
                    <c:v>30قوس</c:v>
                  </c:pt>
                  <c:pt idx="906">
                    <c:v>30قوس</c:v>
                  </c:pt>
                  <c:pt idx="907">
                    <c:v>30قوس</c:v>
                  </c:pt>
                  <c:pt idx="908">
                    <c:v>30قوس</c:v>
                  </c:pt>
                  <c:pt idx="909">
                    <c:v>30قوس</c:v>
                  </c:pt>
                  <c:pt idx="910">
                    <c:v>30قوس</c:v>
                  </c:pt>
                  <c:pt idx="911">
                    <c:v>30قوس</c:v>
                  </c:pt>
                  <c:pt idx="913">
                    <c:v>30قوس</c:v>
                  </c:pt>
                  <c:pt idx="914">
                    <c:v>30قوس</c:v>
                  </c:pt>
                  <c:pt idx="915">
                    <c:v>30قوس</c:v>
                  </c:pt>
                  <c:pt idx="916">
                    <c:v>30قوس</c:v>
                  </c:pt>
                  <c:pt idx="917">
                    <c:v>30قوس</c:v>
                  </c:pt>
                  <c:pt idx="918">
                    <c:v>30قوس</c:v>
                  </c:pt>
                  <c:pt idx="919">
                    <c:v>30قوس</c:v>
                  </c:pt>
                  <c:pt idx="921">
                    <c:v>30قوس</c:v>
                  </c:pt>
                  <c:pt idx="922">
                    <c:v>30قوس</c:v>
                  </c:pt>
                  <c:pt idx="923">
                    <c:v>30قوس</c:v>
                  </c:pt>
                  <c:pt idx="924">
                    <c:v>30قوس</c:v>
                  </c:pt>
                  <c:pt idx="925">
                    <c:v>30قوس</c:v>
                  </c:pt>
                  <c:pt idx="927">
                    <c:v>30قوس</c:v>
                  </c:pt>
                  <c:pt idx="928">
                    <c:v>30قوس</c:v>
                  </c:pt>
                  <c:pt idx="929">
                    <c:v>30قوس</c:v>
                  </c:pt>
                  <c:pt idx="930">
                    <c:v>30قوس</c:v>
                  </c:pt>
                  <c:pt idx="931">
                    <c:v>30قوس</c:v>
                  </c:pt>
                  <c:pt idx="932">
                    <c:v>30قوس</c:v>
                  </c:pt>
                  <c:pt idx="933">
                    <c:v>30قوس</c:v>
                  </c:pt>
                  <c:pt idx="934">
                    <c:v>30قوس</c:v>
                  </c:pt>
                  <c:pt idx="936">
                    <c:v>30قوس</c:v>
                  </c:pt>
                  <c:pt idx="937">
                    <c:v>30قوس</c:v>
                  </c:pt>
                  <c:pt idx="938">
                    <c:v>30قوس</c:v>
                  </c:pt>
                  <c:pt idx="939">
                    <c:v>30قوس</c:v>
                  </c:pt>
                  <c:pt idx="940">
                    <c:v>30قوس</c:v>
                  </c:pt>
                  <c:pt idx="941">
                    <c:v>30قوس</c:v>
                  </c:pt>
                  <c:pt idx="942">
                    <c:v>30قوس</c:v>
                  </c:pt>
                  <c:pt idx="944">
                    <c:v>30قوس</c:v>
                  </c:pt>
                  <c:pt idx="945">
                    <c:v>30قوس</c:v>
                  </c:pt>
                  <c:pt idx="946">
                    <c:v>30قوس</c:v>
                  </c:pt>
                  <c:pt idx="947">
                    <c:v>30قوس</c:v>
                  </c:pt>
                  <c:pt idx="948">
                    <c:v>30قوس</c:v>
                  </c:pt>
                  <c:pt idx="949">
                    <c:v>30قوس</c:v>
                  </c:pt>
                  <c:pt idx="950">
                    <c:v>30قوس</c:v>
                  </c:pt>
                  <c:pt idx="952">
                    <c:v>30قوس</c:v>
                  </c:pt>
                  <c:pt idx="953">
                    <c:v>30قوس</c:v>
                  </c:pt>
                  <c:pt idx="954">
                    <c:v>30قوس</c:v>
                  </c:pt>
                  <c:pt idx="955">
                    <c:v>30قوس</c:v>
                  </c:pt>
                  <c:pt idx="956">
                    <c:v>30قوس</c:v>
                  </c:pt>
                  <c:pt idx="957">
                    <c:v>30قوس</c:v>
                  </c:pt>
                  <c:pt idx="958">
                    <c:v>30قوس</c:v>
                  </c:pt>
                  <c:pt idx="959">
                    <c:v>30قوس</c:v>
                  </c:pt>
                  <c:pt idx="961">
                    <c:v>30قوس</c:v>
                  </c:pt>
                  <c:pt idx="962">
                    <c:v>30قوس</c:v>
                  </c:pt>
                  <c:pt idx="963">
                    <c:v>30قوس</c:v>
                  </c:pt>
                  <c:pt idx="964">
                    <c:v>30قوس</c:v>
                  </c:pt>
                  <c:pt idx="965">
                    <c:v>30قوس</c:v>
                  </c:pt>
                  <c:pt idx="966">
                    <c:v>30قوس</c:v>
                  </c:pt>
                  <c:pt idx="967">
                    <c:v>30قوس</c:v>
                  </c:pt>
                  <c:pt idx="969">
                    <c:v>30قوس</c:v>
                  </c:pt>
                  <c:pt idx="970">
                    <c:v>30قوس</c:v>
                  </c:pt>
                  <c:pt idx="971">
                    <c:v>30قوس</c:v>
                  </c:pt>
                  <c:pt idx="972">
                    <c:v>30قوس</c:v>
                  </c:pt>
                  <c:pt idx="973">
                    <c:v>30قوس</c:v>
                  </c:pt>
                  <c:pt idx="974">
                    <c:v>30قوس</c:v>
                  </c:pt>
                  <c:pt idx="975">
                    <c:v>30قوس</c:v>
                  </c:pt>
                  <c:pt idx="977">
                    <c:v>30قوس</c:v>
                  </c:pt>
                  <c:pt idx="978">
                    <c:v>30قوس</c:v>
                  </c:pt>
                  <c:pt idx="979">
                    <c:v>30قوس</c:v>
                  </c:pt>
                  <c:pt idx="980">
                    <c:v>30قوس</c:v>
                  </c:pt>
                  <c:pt idx="981">
                    <c:v>30قوس</c:v>
                  </c:pt>
                  <c:pt idx="982">
                    <c:v>30قوس</c:v>
                  </c:pt>
                  <c:pt idx="983">
                    <c:v>30قوس</c:v>
                  </c:pt>
                  <c:pt idx="984">
                    <c:v>30قوس</c:v>
                  </c:pt>
                  <c:pt idx="985">
                    <c:v>30قوس</c:v>
                  </c:pt>
                  <c:pt idx="987">
                    <c:v>30قوس</c:v>
                  </c:pt>
                  <c:pt idx="988">
                    <c:v>30قوس</c:v>
                  </c:pt>
                  <c:pt idx="989">
                    <c:v>30قوس</c:v>
                  </c:pt>
                  <c:pt idx="990">
                    <c:v>30قوس</c:v>
                  </c:pt>
                  <c:pt idx="991">
                    <c:v>30قوس</c:v>
                  </c:pt>
                  <c:pt idx="992">
                    <c:v>30قوس</c:v>
                  </c:pt>
                  <c:pt idx="993">
                    <c:v>30قوس</c:v>
                  </c:pt>
                  <c:pt idx="995">
                    <c:v>30قوس</c:v>
                  </c:pt>
                  <c:pt idx="996">
                    <c:v>30قوس</c:v>
                  </c:pt>
                  <c:pt idx="997">
                    <c:v>30قوس</c:v>
                  </c:pt>
                  <c:pt idx="998">
                    <c:v>30قوس</c:v>
                  </c:pt>
                  <c:pt idx="999">
                    <c:v>30قوس</c:v>
                  </c:pt>
                  <c:pt idx="1000">
                    <c:v>30قوس</c:v>
                  </c:pt>
                  <c:pt idx="1002">
                    <c:v>1جدی</c:v>
                  </c:pt>
                  <c:pt idx="1003">
                    <c:v>1جدی</c:v>
                  </c:pt>
                  <c:pt idx="1004">
                    <c:v>1جدی</c:v>
                  </c:pt>
                  <c:pt idx="1005">
                    <c:v>1جدی</c:v>
                  </c:pt>
                  <c:pt idx="1006">
                    <c:v>1جدی</c:v>
                  </c:pt>
                  <c:pt idx="1007">
                    <c:v>1جدی</c:v>
                  </c:pt>
                  <c:pt idx="1008">
                    <c:v>1جدی</c:v>
                  </c:pt>
                  <c:pt idx="1009">
                    <c:v>1جدی</c:v>
                  </c:pt>
                  <c:pt idx="1010">
                    <c:v>1جدی</c:v>
                  </c:pt>
                  <c:pt idx="1011">
                    <c:v>1جدی</c:v>
                  </c:pt>
                  <c:pt idx="1012">
                    <c:v>1جدی</c:v>
                  </c:pt>
                  <c:pt idx="1013">
                    <c:v>1جدی</c:v>
                  </c:pt>
                  <c:pt idx="1014">
                    <c:v>1جدی</c:v>
                  </c:pt>
                  <c:pt idx="1015">
                    <c:v>1جدی</c:v>
                  </c:pt>
                  <c:pt idx="1016">
                    <c:v>1جدی</c:v>
                  </c:pt>
                  <c:pt idx="1018">
                    <c:v>30قوس</c:v>
                  </c:pt>
                  <c:pt idx="1019">
                    <c:v>30قوس</c:v>
                  </c:pt>
                  <c:pt idx="1020">
                    <c:v>30قوس</c:v>
                  </c:pt>
                  <c:pt idx="1021">
                    <c:v>30قوس</c:v>
                  </c:pt>
                  <c:pt idx="1022">
                    <c:v>30قوس</c:v>
                  </c:pt>
                  <c:pt idx="1023">
                    <c:v>30قوس</c:v>
                  </c:pt>
                  <c:pt idx="1024">
                    <c:v>30قوس</c:v>
                  </c:pt>
                  <c:pt idx="1026">
                    <c:v>30قوس</c:v>
                  </c:pt>
                  <c:pt idx="1027">
                    <c:v>30قوس</c:v>
                  </c:pt>
                  <c:pt idx="1028">
                    <c:v>30قوس</c:v>
                  </c:pt>
                  <c:pt idx="1029">
                    <c:v>30قوس</c:v>
                  </c:pt>
                  <c:pt idx="1030">
                    <c:v>30قوس</c:v>
                  </c:pt>
                  <c:pt idx="1031">
                    <c:v>30قوس</c:v>
                  </c:pt>
                  <c:pt idx="1032">
                    <c:v>30قوس</c:v>
                  </c:pt>
                  <c:pt idx="1033">
                    <c:v>30قوس</c:v>
                  </c:pt>
                  <c:pt idx="1035">
                    <c:v>30قوس</c:v>
                  </c:pt>
                  <c:pt idx="1036">
                    <c:v>30قوس</c:v>
                  </c:pt>
                  <c:pt idx="1037">
                    <c:v>30قوس</c:v>
                  </c:pt>
                  <c:pt idx="1038">
                    <c:v>30قوس</c:v>
                  </c:pt>
                  <c:pt idx="1039">
                    <c:v>30قوس</c:v>
                  </c:pt>
                  <c:pt idx="1040">
                    <c:v>30قوس</c:v>
                  </c:pt>
                  <c:pt idx="1041">
                    <c:v>30قوس</c:v>
                  </c:pt>
                  <c:pt idx="1043">
                    <c:v>30قوس</c:v>
                  </c:pt>
                  <c:pt idx="1044">
                    <c:v>30قوس</c:v>
                  </c:pt>
                  <c:pt idx="1045">
                    <c:v>30قوس</c:v>
                  </c:pt>
                  <c:pt idx="1046">
                    <c:v>30قوس</c:v>
                  </c:pt>
                  <c:pt idx="1047">
                    <c:v>30قوس</c:v>
                  </c:pt>
                  <c:pt idx="1048">
                    <c:v>30قوس</c:v>
                  </c:pt>
                  <c:pt idx="1049">
                    <c:v>30قوس</c:v>
                  </c:pt>
                  <c:pt idx="1050">
                    <c:v>30قوس</c:v>
                  </c:pt>
                  <c:pt idx="1052">
                    <c:v>30قوس</c:v>
                  </c:pt>
                  <c:pt idx="1053">
                    <c:v>30قوس</c:v>
                  </c:pt>
                  <c:pt idx="1054">
                    <c:v>30قوس</c:v>
                  </c:pt>
                  <c:pt idx="1055">
                    <c:v>30قوس</c:v>
                  </c:pt>
                  <c:pt idx="1056">
                    <c:v>30قوس</c:v>
                  </c:pt>
                  <c:pt idx="1057">
                    <c:v>30قوس</c:v>
                  </c:pt>
                  <c:pt idx="1058">
                    <c:v>30قوس</c:v>
                  </c:pt>
                  <c:pt idx="1060">
                    <c:v>30قوس</c:v>
                  </c:pt>
                  <c:pt idx="1061">
                    <c:v>30قوس</c:v>
                  </c:pt>
                  <c:pt idx="1062">
                    <c:v>30قوس</c:v>
                  </c:pt>
                  <c:pt idx="1063">
                    <c:v>30قوس</c:v>
                  </c:pt>
                  <c:pt idx="1064">
                    <c:v>30قوس</c:v>
                  </c:pt>
                  <c:pt idx="1065">
                    <c:v>30قوس</c:v>
                  </c:pt>
                  <c:pt idx="1066">
                    <c:v>30قوس</c:v>
                  </c:pt>
                  <c:pt idx="1068">
                    <c:v>30قوس</c:v>
                  </c:pt>
                  <c:pt idx="1069">
                    <c:v>30قوس</c:v>
                  </c:pt>
                  <c:pt idx="1070">
                    <c:v>30قوس</c:v>
                  </c:pt>
                  <c:pt idx="1071">
                    <c:v>30قوس</c:v>
                  </c:pt>
                  <c:pt idx="1072">
                    <c:v>30قوس</c:v>
                  </c:pt>
                  <c:pt idx="1073">
                    <c:v>30قوس</c:v>
                  </c:pt>
                  <c:pt idx="1074">
                    <c:v>30قوس</c:v>
                  </c:pt>
                  <c:pt idx="1076">
                    <c:v>30قوس</c:v>
                  </c:pt>
                  <c:pt idx="1077">
                    <c:v>30قوس</c:v>
                  </c:pt>
                  <c:pt idx="1078">
                    <c:v>30قوس</c:v>
                  </c:pt>
                  <c:pt idx="1079">
                    <c:v>30قوس</c:v>
                  </c:pt>
                  <c:pt idx="1080">
                    <c:v>30قوس</c:v>
                  </c:pt>
                  <c:pt idx="1081">
                    <c:v>30قوس</c:v>
                  </c:pt>
                  <c:pt idx="1082">
                    <c:v>30قوس</c:v>
                  </c:pt>
                  <c:pt idx="1084">
                    <c:v>30قوس</c:v>
                  </c:pt>
                  <c:pt idx="1085">
                    <c:v>30قوس</c:v>
                  </c:pt>
                  <c:pt idx="1086">
                    <c:v>30قوس</c:v>
                  </c:pt>
                  <c:pt idx="1087">
                    <c:v>30قوس</c:v>
                  </c:pt>
                  <c:pt idx="1088">
                    <c:v>30قوس</c:v>
                  </c:pt>
                  <c:pt idx="1089">
                    <c:v>30قوس</c:v>
                  </c:pt>
                  <c:pt idx="1090">
                    <c:v>30قوس</c:v>
                  </c:pt>
                  <c:pt idx="1092">
                    <c:v>30قوس</c:v>
                  </c:pt>
                  <c:pt idx="1093">
                    <c:v>30قوس</c:v>
                  </c:pt>
                  <c:pt idx="1094">
                    <c:v>30قوس</c:v>
                  </c:pt>
                  <c:pt idx="1095">
                    <c:v>30قوس</c:v>
                  </c:pt>
                  <c:pt idx="1096">
                    <c:v>30قوس</c:v>
                  </c:pt>
                  <c:pt idx="1097">
                    <c:v>30قوس</c:v>
                  </c:pt>
                  <c:pt idx="1099">
                    <c:v>30قوس</c:v>
                  </c:pt>
                  <c:pt idx="1100">
                    <c:v>30قوس</c:v>
                  </c:pt>
                  <c:pt idx="1101">
                    <c:v>30قوس</c:v>
                  </c:pt>
                  <c:pt idx="1102">
                    <c:v>30قوس</c:v>
                  </c:pt>
                  <c:pt idx="1103">
                    <c:v>30قوس</c:v>
                  </c:pt>
                  <c:pt idx="1104">
                    <c:v>30قوس</c:v>
                  </c:pt>
                  <c:pt idx="1105">
                    <c:v>30قوس</c:v>
                  </c:pt>
                  <c:pt idx="1107">
                    <c:v>30قوس</c:v>
                  </c:pt>
                  <c:pt idx="1108">
                    <c:v>30قوس</c:v>
                  </c:pt>
                  <c:pt idx="1109">
                    <c:v>30قوس</c:v>
                  </c:pt>
                  <c:pt idx="1110">
                    <c:v>30قوس</c:v>
                  </c:pt>
                  <c:pt idx="1111">
                    <c:v>30قوس</c:v>
                  </c:pt>
                  <c:pt idx="1112">
                    <c:v>30قوس</c:v>
                  </c:pt>
                  <c:pt idx="1113">
                    <c:v>30قوس</c:v>
                  </c:pt>
                  <c:pt idx="1115">
                    <c:v> -   </c:v>
                  </c:pt>
                  <c:pt idx="1117">
                    <c:v>تاریخ ختم</c:v>
                  </c:pt>
                  <c:pt idx="1118">
                    <c:v>9/1397</c:v>
                  </c:pt>
                  <c:pt idx="1119">
                    <c:v>9/1397</c:v>
                  </c:pt>
                  <c:pt idx="1120">
                    <c:v>09/1397</c:v>
                  </c:pt>
                  <c:pt idx="1121">
                    <c:v>9/1397</c:v>
                  </c:pt>
                  <c:pt idx="1123">
                    <c:v>تاریخ ختم</c:v>
                  </c:pt>
                  <c:pt idx="1124">
                    <c:v>9/1397</c:v>
                  </c:pt>
                  <c:pt idx="1125">
                    <c:v>9/1397</c:v>
                  </c:pt>
                  <c:pt idx="1127">
                    <c:v>تاریخ ختم</c:v>
                  </c:pt>
                  <c:pt idx="1128">
                    <c:v>9/1397</c:v>
                  </c:pt>
                  <c:pt idx="1130">
                    <c:v> -   </c:v>
                  </c:pt>
                  <c:pt idx="1132">
                    <c:v>9/1397</c:v>
                  </c:pt>
                  <c:pt idx="1133">
                    <c:v>9/1397</c:v>
                  </c:pt>
                  <c:pt idx="1155">
                    <c:v>                منظور کننده             </c:v>
                  </c:pt>
                  <c:pt idx="1156">
                    <c:v>نصیراحمد درانی  </c:v>
                  </c:pt>
                  <c:pt idx="1157">
                    <c:v> وزیر زراعت، آبیاری ومالداری</c:v>
                  </c:pt>
                </c:lvl>
                <c:lvl>
                  <c:pt idx="2">
                    <c:v>کمیت</c:v>
                  </c:pt>
                  <c:pt idx="4">
                    <c:v>8</c:v>
                  </c:pt>
                  <c:pt idx="5">
                    <c:v>80</c:v>
                  </c:pt>
                  <c:pt idx="6">
                    <c:v>0</c:v>
                  </c:pt>
                  <c:pt idx="8">
                    <c:v>کمیت</c:v>
                  </c:pt>
                  <c:pt idx="9">
                    <c:v>10</c:v>
                  </c:pt>
                  <c:pt idx="10">
                    <c:v>100</c:v>
                  </c:pt>
                  <c:pt idx="13">
                    <c:v>کمیت</c:v>
                  </c:pt>
                  <c:pt idx="14">
                    <c:v>4</c:v>
                  </c:pt>
                  <c:pt idx="15">
                    <c:v>40</c:v>
                  </c:pt>
                  <c:pt idx="16">
                    <c:v>200</c:v>
                  </c:pt>
                  <c:pt idx="17">
                    <c:v>0</c:v>
                  </c:pt>
                  <c:pt idx="19">
                    <c:v>کمیت</c:v>
                  </c:pt>
                  <c:pt idx="20">
                    <c:v>4</c:v>
                  </c:pt>
                  <c:pt idx="21">
                    <c:v>40</c:v>
                  </c:pt>
                  <c:pt idx="24">
                    <c:v>کمیت</c:v>
                  </c:pt>
                  <c:pt idx="25">
                    <c:v>6</c:v>
                  </c:pt>
                  <c:pt idx="26">
                    <c:v>60</c:v>
                  </c:pt>
                  <c:pt idx="27">
                    <c:v>0</c:v>
                  </c:pt>
                  <c:pt idx="29">
                    <c:v>کمیت</c:v>
                  </c:pt>
                  <c:pt idx="30">
                    <c:v>2</c:v>
                  </c:pt>
                  <c:pt idx="33">
                    <c:v>کمیت</c:v>
                  </c:pt>
                  <c:pt idx="34">
                    <c:v>1</c:v>
                  </c:pt>
                  <c:pt idx="37">
                    <c:v>کمیت</c:v>
                  </c:pt>
                  <c:pt idx="38">
                    <c:v>1</c:v>
                  </c:pt>
                  <c:pt idx="41">
                    <c:v>کمیت</c:v>
                  </c:pt>
                  <c:pt idx="42">
                    <c:v>10</c:v>
                  </c:pt>
                  <c:pt idx="43">
                    <c:v>50</c:v>
                  </c:pt>
                  <c:pt idx="44">
                    <c:v>200</c:v>
                  </c:pt>
                  <c:pt idx="47">
                    <c:v>کمیت</c:v>
                  </c:pt>
                  <c:pt idx="48">
                    <c:v>18</c:v>
                  </c:pt>
                  <c:pt idx="49">
                    <c:v>180</c:v>
                  </c:pt>
                  <c:pt idx="50">
                    <c:v>5000</c:v>
                  </c:pt>
                  <c:pt idx="51">
                    <c:v>900</c:v>
                  </c:pt>
                  <c:pt idx="52">
                    <c:v>100</c:v>
                  </c:pt>
                  <c:pt idx="54">
                    <c:v>کمیت</c:v>
                  </c:pt>
                  <c:pt idx="55">
                    <c:v>4</c:v>
                  </c:pt>
                  <c:pt idx="56">
                    <c:v>40</c:v>
                  </c:pt>
                  <c:pt idx="59">
                    <c:v>کمیت</c:v>
                  </c:pt>
                  <c:pt idx="60">
                    <c:v>6</c:v>
                  </c:pt>
                  <c:pt idx="61">
                    <c:v>60</c:v>
                  </c:pt>
                  <c:pt idx="64">
                    <c:v>کمیت</c:v>
                  </c:pt>
                  <c:pt idx="65">
                    <c:v>2</c:v>
                  </c:pt>
                  <c:pt idx="70">
                    <c:v>تعداد</c:v>
                  </c:pt>
                  <c:pt idx="72">
                    <c:v>1</c:v>
                  </c:pt>
                  <c:pt idx="73">
                    <c:v>20</c:v>
                  </c:pt>
                  <c:pt idx="74">
                    <c:v>40</c:v>
                  </c:pt>
                  <c:pt idx="75">
                    <c:v>60</c:v>
                  </c:pt>
                  <c:pt idx="76">
                    <c:v>300</c:v>
                  </c:pt>
                  <c:pt idx="77">
                    <c:v>600000</c:v>
                  </c:pt>
                  <c:pt idx="78">
                    <c:v>10</c:v>
                  </c:pt>
                  <c:pt idx="79">
                    <c:v>50000</c:v>
                  </c:pt>
                  <c:pt idx="80">
                    <c:v>50000</c:v>
                  </c:pt>
                  <c:pt idx="81">
                    <c:v>15</c:v>
                  </c:pt>
                  <c:pt idx="82">
                    <c:v>12</c:v>
                  </c:pt>
                  <c:pt idx="83">
                    <c:v>50000</c:v>
                  </c:pt>
                  <c:pt idx="84">
                    <c:v>1</c:v>
                  </c:pt>
                  <c:pt idx="86">
                    <c:v>کمیت</c:v>
                  </c:pt>
                  <c:pt idx="87">
                    <c:v>40</c:v>
                  </c:pt>
                  <c:pt idx="88">
                    <c:v>1</c:v>
                  </c:pt>
                  <c:pt idx="89">
                    <c:v>1</c:v>
                  </c:pt>
                  <c:pt idx="90">
                    <c:v>66</c:v>
                  </c:pt>
                  <c:pt idx="91">
                    <c:v>76000</c:v>
                  </c:pt>
                  <c:pt idx="92">
                    <c:v>76000</c:v>
                  </c:pt>
                  <c:pt idx="93">
                    <c:v>66000</c:v>
                  </c:pt>
                  <c:pt idx="94">
                    <c:v>1</c:v>
                  </c:pt>
                  <c:pt idx="95">
                    <c:v>66000</c:v>
                  </c:pt>
                  <c:pt idx="96">
                    <c:v>66000</c:v>
                  </c:pt>
                  <c:pt idx="97">
                    <c:v>1320000</c:v>
                  </c:pt>
                  <c:pt idx="98">
                    <c:v>66000</c:v>
                  </c:pt>
                  <c:pt idx="99">
                    <c:v>40000</c:v>
                  </c:pt>
                  <c:pt idx="100">
                    <c:v>15</c:v>
                  </c:pt>
                  <c:pt idx="101">
                    <c:v>20000</c:v>
                  </c:pt>
                  <c:pt idx="102">
                    <c:v>200</c:v>
                  </c:pt>
                  <c:pt idx="103">
                    <c:v>20000</c:v>
                  </c:pt>
                  <c:pt idx="104">
                    <c:v> 1 </c:v>
                  </c:pt>
                  <c:pt idx="105">
                    <c:v> 10 </c:v>
                  </c:pt>
                  <c:pt idx="106">
                    <c:v>50000</c:v>
                  </c:pt>
                  <c:pt idx="107">
                    <c:v>50000</c:v>
                  </c:pt>
                  <c:pt idx="108">
                    <c:v>15</c:v>
                  </c:pt>
                  <c:pt idx="109">
                    <c:v>12</c:v>
                  </c:pt>
                  <c:pt idx="110">
                    <c:v>50000</c:v>
                  </c:pt>
                  <c:pt idx="111">
                    <c:v>200</c:v>
                  </c:pt>
                  <c:pt idx="112">
                    <c:v>1</c:v>
                  </c:pt>
                  <c:pt idx="114">
                    <c:v>کمیت</c:v>
                  </c:pt>
                  <c:pt idx="115">
                    <c:v>1</c:v>
                  </c:pt>
                  <c:pt idx="116">
                    <c:v>20</c:v>
                  </c:pt>
                  <c:pt idx="117">
                    <c:v>40</c:v>
                  </c:pt>
                  <c:pt idx="118">
                    <c:v>100</c:v>
                  </c:pt>
                  <c:pt idx="119">
                    <c:v>500</c:v>
                  </c:pt>
                  <c:pt idx="120">
                    <c:v>1000000</c:v>
                  </c:pt>
                  <c:pt idx="121">
                    <c:v>10</c:v>
                  </c:pt>
                  <c:pt idx="122">
                    <c:v>50000</c:v>
                  </c:pt>
                  <c:pt idx="123">
                    <c:v>50000</c:v>
                  </c:pt>
                  <c:pt idx="124">
                    <c:v>15</c:v>
                  </c:pt>
                  <c:pt idx="125">
                    <c:v>12</c:v>
                  </c:pt>
                  <c:pt idx="126">
                    <c:v>50000</c:v>
                  </c:pt>
                  <c:pt idx="127">
                    <c:v>1</c:v>
                  </c:pt>
                  <c:pt idx="129">
                    <c:v>کمیت</c:v>
                  </c:pt>
                  <c:pt idx="130">
                    <c:v>1</c:v>
                  </c:pt>
                  <c:pt idx="131">
                    <c:v>50</c:v>
                  </c:pt>
                  <c:pt idx="132">
                    <c:v>60000</c:v>
                  </c:pt>
                  <c:pt idx="133">
                    <c:v>60000</c:v>
                  </c:pt>
                  <c:pt idx="134">
                    <c:v>50000</c:v>
                  </c:pt>
                  <c:pt idx="135">
                    <c:v>1</c:v>
                  </c:pt>
                  <c:pt idx="136">
                    <c:v>50000</c:v>
                  </c:pt>
                  <c:pt idx="137">
                    <c:v>50000</c:v>
                  </c:pt>
                  <c:pt idx="138">
                    <c:v>1000000</c:v>
                  </c:pt>
                  <c:pt idx="139">
                    <c:v>50000</c:v>
                  </c:pt>
                  <c:pt idx="140">
                    <c:v>40000</c:v>
                  </c:pt>
                  <c:pt idx="141">
                    <c:v>15</c:v>
                  </c:pt>
                  <c:pt idx="142">
                    <c:v>20000</c:v>
                  </c:pt>
                  <c:pt idx="143">
                    <c:v>200</c:v>
                  </c:pt>
                  <c:pt idx="144">
                    <c:v>20000</c:v>
                  </c:pt>
                  <c:pt idx="145">
                    <c:v> 1 </c:v>
                  </c:pt>
                  <c:pt idx="146">
                    <c:v> 10 </c:v>
                  </c:pt>
                  <c:pt idx="147">
                    <c:v>50000</c:v>
                  </c:pt>
                  <c:pt idx="148">
                    <c:v>50000</c:v>
                  </c:pt>
                  <c:pt idx="149">
                    <c:v>50000</c:v>
                  </c:pt>
                  <c:pt idx="150">
                    <c:v>10</c:v>
                  </c:pt>
                  <c:pt idx="151">
                    <c:v>12</c:v>
                  </c:pt>
                  <c:pt idx="152">
                    <c:v>100000</c:v>
                  </c:pt>
                  <c:pt idx="153">
                    <c:v>2</c:v>
                  </c:pt>
                  <c:pt idx="154">
                    <c:v>200</c:v>
                  </c:pt>
                  <c:pt idx="155">
                    <c:v>1</c:v>
                  </c:pt>
                  <c:pt idx="157">
                    <c:v>کمیت</c:v>
                  </c:pt>
                  <c:pt idx="158">
                    <c:v> 1 </c:v>
                  </c:pt>
                  <c:pt idx="159">
                    <c:v> 20 </c:v>
                  </c:pt>
                  <c:pt idx="160">
                    <c:v>40</c:v>
                  </c:pt>
                  <c:pt idx="161">
                    <c:v>100</c:v>
                  </c:pt>
                  <c:pt idx="162">
                    <c:v>500</c:v>
                  </c:pt>
                  <c:pt idx="163">
                    <c:v>1000000</c:v>
                  </c:pt>
                  <c:pt idx="164">
                    <c:v>20</c:v>
                  </c:pt>
                  <c:pt idx="165">
                    <c:v> 100,000 </c:v>
                  </c:pt>
                  <c:pt idx="166">
                    <c:v> 100,000 </c:v>
                  </c:pt>
                  <c:pt idx="167">
                    <c:v> 30 </c:v>
                  </c:pt>
                  <c:pt idx="168">
                    <c:v> 24 </c:v>
                  </c:pt>
                  <c:pt idx="169">
                    <c:v> 100,000 </c:v>
                  </c:pt>
                  <c:pt idx="170">
                    <c:v> 1 </c:v>
                  </c:pt>
                  <c:pt idx="172">
                    <c:v>کمیت</c:v>
                  </c:pt>
                  <c:pt idx="173">
                    <c:v>40</c:v>
                  </c:pt>
                  <c:pt idx="174">
                    <c:v> 1 </c:v>
                  </c:pt>
                  <c:pt idx="175">
                    <c:v> 1 </c:v>
                  </c:pt>
                  <c:pt idx="176">
                    <c:v> 40,000 </c:v>
                  </c:pt>
                  <c:pt idx="177">
                    <c:v> 1 </c:v>
                  </c:pt>
                  <c:pt idx="178">
                    <c:v> 1 </c:v>
                  </c:pt>
                  <c:pt idx="180">
                    <c:v>کمیت</c:v>
                  </c:pt>
                  <c:pt idx="181">
                    <c:v>40</c:v>
                  </c:pt>
                  <c:pt idx="182">
                    <c:v> 1 </c:v>
                  </c:pt>
                  <c:pt idx="183">
                    <c:v> 1 </c:v>
                  </c:pt>
                  <c:pt idx="184">
                    <c:v> 40,000 </c:v>
                  </c:pt>
                  <c:pt idx="185">
                    <c:v> 1 </c:v>
                  </c:pt>
                  <c:pt idx="187">
                    <c:v>کمیت</c:v>
                  </c:pt>
                  <c:pt idx="188">
                    <c:v> 1 </c:v>
                  </c:pt>
                  <c:pt idx="189">
                    <c:v> 1 </c:v>
                  </c:pt>
                  <c:pt idx="190">
                    <c:v> 1 </c:v>
                  </c:pt>
                  <c:pt idx="191">
                    <c:v> 20 </c:v>
                  </c:pt>
                  <c:pt idx="192">
                    <c:v>50</c:v>
                  </c:pt>
                  <c:pt idx="193">
                    <c:v>60000</c:v>
                  </c:pt>
                  <c:pt idx="194">
                    <c:v>60000</c:v>
                  </c:pt>
                  <c:pt idx="195">
                    <c:v>50000</c:v>
                  </c:pt>
                  <c:pt idx="196">
                    <c:v>1</c:v>
                  </c:pt>
                  <c:pt idx="197">
                    <c:v>50000</c:v>
                  </c:pt>
                  <c:pt idx="198">
                    <c:v>50000</c:v>
                  </c:pt>
                  <c:pt idx="199">
                    <c:v>1000000</c:v>
                  </c:pt>
                  <c:pt idx="200">
                    <c:v>50000</c:v>
                  </c:pt>
                  <c:pt idx="201">
                    <c:v>40000</c:v>
                  </c:pt>
                  <c:pt idx="202">
                    <c:v>15</c:v>
                  </c:pt>
                  <c:pt idx="203">
                    <c:v>20000</c:v>
                  </c:pt>
                  <c:pt idx="204">
                    <c:v>200</c:v>
                  </c:pt>
                  <c:pt idx="205">
                    <c:v>20000</c:v>
                  </c:pt>
                  <c:pt idx="206">
                    <c:v> 1 </c:v>
                  </c:pt>
                  <c:pt idx="207">
                    <c:v> 10 </c:v>
                  </c:pt>
                  <c:pt idx="208">
                    <c:v> 50,000 </c:v>
                  </c:pt>
                  <c:pt idx="209">
                    <c:v> 50,000 </c:v>
                  </c:pt>
                  <c:pt idx="210">
                    <c:v> 50,000 </c:v>
                  </c:pt>
                  <c:pt idx="211">
                    <c:v> 15 </c:v>
                  </c:pt>
                  <c:pt idx="212">
                    <c:v> 12 </c:v>
                  </c:pt>
                  <c:pt idx="213">
                    <c:v> 200 </c:v>
                  </c:pt>
                  <c:pt idx="214">
                    <c:v> 1 </c:v>
                  </c:pt>
                  <c:pt idx="216">
                    <c:v>کمیت</c:v>
                  </c:pt>
                  <c:pt idx="217">
                    <c:v>1</c:v>
                  </c:pt>
                  <c:pt idx="218">
                    <c:v>40</c:v>
                  </c:pt>
                  <c:pt idx="219">
                    <c:v>50</c:v>
                  </c:pt>
                  <c:pt idx="220">
                    <c:v>60000</c:v>
                  </c:pt>
                  <c:pt idx="221">
                    <c:v>60000</c:v>
                  </c:pt>
                  <c:pt idx="222">
                    <c:v>50000</c:v>
                  </c:pt>
                  <c:pt idx="223">
                    <c:v>1</c:v>
                  </c:pt>
                  <c:pt idx="224">
                    <c:v>50000</c:v>
                  </c:pt>
                  <c:pt idx="225">
                    <c:v>50000</c:v>
                  </c:pt>
                  <c:pt idx="226">
                    <c:v>1000000</c:v>
                  </c:pt>
                  <c:pt idx="227">
                    <c:v>50000</c:v>
                  </c:pt>
                  <c:pt idx="228">
                    <c:v>40000</c:v>
                  </c:pt>
                  <c:pt idx="229">
                    <c:v>15</c:v>
                  </c:pt>
                  <c:pt idx="230">
                    <c:v>20000</c:v>
                  </c:pt>
                  <c:pt idx="231">
                    <c:v>200</c:v>
                  </c:pt>
                  <c:pt idx="232">
                    <c:v>20000</c:v>
                  </c:pt>
                  <c:pt idx="233">
                    <c:v> 1 </c:v>
                  </c:pt>
                  <c:pt idx="234">
                    <c:v>200</c:v>
                  </c:pt>
                  <c:pt idx="235">
                    <c:v>1</c:v>
                  </c:pt>
                  <c:pt idx="237">
                    <c:v>کمیت</c:v>
                  </c:pt>
                  <c:pt idx="238">
                    <c:v>1</c:v>
                  </c:pt>
                  <c:pt idx="239">
                    <c:v>1</c:v>
                  </c:pt>
                  <c:pt idx="240">
                    <c:v>100</c:v>
                  </c:pt>
                  <c:pt idx="241">
                    <c:v>500</c:v>
                  </c:pt>
                  <c:pt idx="242">
                    <c:v>1000000</c:v>
                  </c:pt>
                  <c:pt idx="243">
                    <c:v>1</c:v>
                  </c:pt>
                  <c:pt idx="245">
                    <c:v>کمیت</c:v>
                  </c:pt>
                  <c:pt idx="246">
                    <c:v>1</c:v>
                  </c:pt>
                  <c:pt idx="247">
                    <c:v>1</c:v>
                  </c:pt>
                  <c:pt idx="248">
                    <c:v>100</c:v>
                  </c:pt>
                  <c:pt idx="249">
                    <c:v>500</c:v>
                  </c:pt>
                  <c:pt idx="250">
                    <c:v>1000000</c:v>
                  </c:pt>
                  <c:pt idx="251">
                    <c:v>1</c:v>
                  </c:pt>
                  <c:pt idx="253">
                    <c:v>کمیت</c:v>
                  </c:pt>
                  <c:pt idx="254">
                    <c:v>1</c:v>
                  </c:pt>
                  <c:pt idx="255">
                    <c:v>20</c:v>
                  </c:pt>
                  <c:pt idx="256">
                    <c:v>100</c:v>
                  </c:pt>
                  <c:pt idx="257">
                    <c:v>500</c:v>
                  </c:pt>
                  <c:pt idx="258">
                    <c:v>1000000</c:v>
                  </c:pt>
                  <c:pt idx="259">
                    <c:v>1</c:v>
                  </c:pt>
                  <c:pt idx="261">
                    <c:v>کمیت</c:v>
                  </c:pt>
                  <c:pt idx="262">
                    <c:v>1</c:v>
                  </c:pt>
                  <c:pt idx="263">
                    <c:v>20</c:v>
                  </c:pt>
                  <c:pt idx="264">
                    <c:v>100</c:v>
                  </c:pt>
                  <c:pt idx="265">
                    <c:v>500</c:v>
                  </c:pt>
                  <c:pt idx="266">
                    <c:v>1000000</c:v>
                  </c:pt>
                  <c:pt idx="267">
                    <c:v>1</c:v>
                  </c:pt>
                  <c:pt idx="269">
                    <c:v>کمیت</c:v>
                  </c:pt>
                  <c:pt idx="270">
                    <c:v>1</c:v>
                  </c:pt>
                  <c:pt idx="271">
                    <c:v>20</c:v>
                  </c:pt>
                  <c:pt idx="272">
                    <c:v>100</c:v>
                  </c:pt>
                  <c:pt idx="273">
                    <c:v>500</c:v>
                  </c:pt>
                  <c:pt idx="274">
                    <c:v>1000000</c:v>
                  </c:pt>
                  <c:pt idx="275">
                    <c:v>20</c:v>
                  </c:pt>
                  <c:pt idx="276">
                    <c:v> 100,000 </c:v>
                  </c:pt>
                  <c:pt idx="277">
                    <c:v> 100,000 </c:v>
                  </c:pt>
                  <c:pt idx="278">
                    <c:v> 30 </c:v>
                  </c:pt>
                  <c:pt idx="279">
                    <c:v> 24 </c:v>
                  </c:pt>
                  <c:pt idx="280">
                    <c:v> 100,000 </c:v>
                  </c:pt>
                  <c:pt idx="281">
                    <c:v>1</c:v>
                  </c:pt>
                  <c:pt idx="283">
                    <c:v>کمیت</c:v>
                  </c:pt>
                  <c:pt idx="284">
                    <c:v>1</c:v>
                  </c:pt>
                  <c:pt idx="285">
                    <c:v>20</c:v>
                  </c:pt>
                  <c:pt idx="286">
                    <c:v>100</c:v>
                  </c:pt>
                  <c:pt idx="287">
                    <c:v>500</c:v>
                  </c:pt>
                  <c:pt idx="288">
                    <c:v>1000000</c:v>
                  </c:pt>
                  <c:pt idx="289">
                    <c:v>10</c:v>
                  </c:pt>
                  <c:pt idx="290">
                    <c:v> 50,000 </c:v>
                  </c:pt>
                  <c:pt idx="291">
                    <c:v> 50,000 </c:v>
                  </c:pt>
                  <c:pt idx="292">
                    <c:v> 15 </c:v>
                  </c:pt>
                  <c:pt idx="293">
                    <c:v> 24 </c:v>
                  </c:pt>
                  <c:pt idx="294">
                    <c:v> 50,000 </c:v>
                  </c:pt>
                  <c:pt idx="295">
                    <c:v>1</c:v>
                  </c:pt>
                  <c:pt idx="297">
                    <c:v>1</c:v>
                  </c:pt>
                  <c:pt idx="298">
                    <c:v>1</c:v>
                  </c:pt>
                  <c:pt idx="302">
                    <c:v>کمیت</c:v>
                  </c:pt>
                  <c:pt idx="303">
                    <c:v>2000</c:v>
                  </c:pt>
                  <c:pt idx="304">
                    <c:v>6000</c:v>
                  </c:pt>
                  <c:pt idx="305">
                    <c:v>287</c:v>
                  </c:pt>
                  <c:pt idx="306">
                    <c:v>20</c:v>
                  </c:pt>
                  <c:pt idx="307">
                    <c:v>10000</c:v>
                  </c:pt>
                  <c:pt idx="308">
                    <c:v>2000</c:v>
                  </c:pt>
                  <c:pt idx="309">
                    <c:v>1</c:v>
                  </c:pt>
                  <c:pt idx="311">
                    <c:v>10000</c:v>
                  </c:pt>
                  <c:pt idx="312">
                    <c:v>6000</c:v>
                  </c:pt>
                  <c:pt idx="313">
                    <c:v>250</c:v>
                  </c:pt>
                  <c:pt idx="314">
                    <c:v>11</c:v>
                  </c:pt>
                  <c:pt idx="315">
                    <c:v>10000</c:v>
                  </c:pt>
                  <c:pt idx="316">
                    <c:v>2000</c:v>
                  </c:pt>
                  <c:pt idx="317">
                    <c:v>1</c:v>
                  </c:pt>
                  <c:pt idx="319">
                    <c:v>10000</c:v>
                  </c:pt>
                  <c:pt idx="320">
                    <c:v>2000</c:v>
                  </c:pt>
                  <c:pt idx="321">
                    <c:v>6000</c:v>
                  </c:pt>
                  <c:pt idx="322">
                    <c:v>300</c:v>
                  </c:pt>
                  <c:pt idx="323">
                    <c:v>20</c:v>
                  </c:pt>
                  <c:pt idx="324">
                    <c:v>10000</c:v>
                  </c:pt>
                  <c:pt idx="325">
                    <c:v>1</c:v>
                  </c:pt>
                  <c:pt idx="327">
                    <c:v>60000</c:v>
                  </c:pt>
                  <c:pt idx="328">
                    <c:v>1000</c:v>
                  </c:pt>
                  <c:pt idx="329">
                    <c:v>500</c:v>
                  </c:pt>
                  <c:pt idx="330">
                    <c:v>4000</c:v>
                  </c:pt>
                  <c:pt idx="331">
                    <c:v>1</c:v>
                  </c:pt>
                  <c:pt idx="332">
                    <c:v>1</c:v>
                  </c:pt>
                  <c:pt idx="334">
                    <c:v>8000</c:v>
                  </c:pt>
                  <c:pt idx="335">
                    <c:v>2000</c:v>
                  </c:pt>
                  <c:pt idx="336">
                    <c:v>6000</c:v>
                  </c:pt>
                  <c:pt idx="337">
                    <c:v>250</c:v>
                  </c:pt>
                  <c:pt idx="338">
                    <c:v>12</c:v>
                  </c:pt>
                  <c:pt idx="339">
                    <c:v>1</c:v>
                  </c:pt>
                  <c:pt idx="340">
                    <c:v>1</c:v>
                  </c:pt>
                  <c:pt idx="342">
                    <c:v>8000</c:v>
                  </c:pt>
                  <c:pt idx="346">
                    <c:v>1</c:v>
                  </c:pt>
                  <c:pt idx="348">
                    <c:v>40000</c:v>
                  </c:pt>
                  <c:pt idx="349">
                    <c:v>4000</c:v>
                  </c:pt>
                  <c:pt idx="350">
                    <c:v>20000</c:v>
                  </c:pt>
                  <c:pt idx="351">
                    <c:v>14000</c:v>
                  </c:pt>
                  <c:pt idx="352">
                    <c:v>300</c:v>
                  </c:pt>
                  <c:pt idx="353">
                    <c:v>20</c:v>
                  </c:pt>
                  <c:pt idx="354">
                    <c:v>15000</c:v>
                  </c:pt>
                  <c:pt idx="355">
                    <c:v>1</c:v>
                  </c:pt>
                  <c:pt idx="357">
                    <c:v>6000</c:v>
                  </c:pt>
                  <c:pt idx="358">
                    <c:v>4000</c:v>
                  </c:pt>
                  <c:pt idx="359">
                    <c:v>300</c:v>
                  </c:pt>
                  <c:pt idx="360">
                    <c:v>15</c:v>
                  </c:pt>
                  <c:pt idx="361">
                    <c:v>2000</c:v>
                  </c:pt>
                  <c:pt idx="362">
                    <c:v>1</c:v>
                  </c:pt>
                  <c:pt idx="363">
                    <c:v>1</c:v>
                  </c:pt>
                  <c:pt idx="365">
                    <c:v>10000</c:v>
                  </c:pt>
                  <c:pt idx="366">
                    <c:v>2000</c:v>
                  </c:pt>
                  <c:pt idx="367">
                    <c:v>12000</c:v>
                  </c:pt>
                  <c:pt idx="368">
                    <c:v>300</c:v>
                  </c:pt>
                  <c:pt idx="369">
                    <c:v>15</c:v>
                  </c:pt>
                  <c:pt idx="370">
                    <c:v>20000</c:v>
                  </c:pt>
                  <c:pt idx="371">
                    <c:v>1</c:v>
                  </c:pt>
                  <c:pt idx="373">
                    <c:v>12000</c:v>
                  </c:pt>
                  <c:pt idx="374">
                    <c:v>2000</c:v>
                  </c:pt>
                  <c:pt idx="375">
                    <c:v>20000</c:v>
                  </c:pt>
                  <c:pt idx="376">
                    <c:v>10000</c:v>
                  </c:pt>
                  <c:pt idx="377">
                    <c:v>300</c:v>
                  </c:pt>
                  <c:pt idx="378">
                    <c:v>12</c:v>
                  </c:pt>
                  <c:pt idx="379">
                    <c:v>10000</c:v>
                  </c:pt>
                  <c:pt idx="380">
                    <c:v>1</c:v>
                  </c:pt>
                  <c:pt idx="382">
                    <c:v>10000</c:v>
                  </c:pt>
                  <c:pt idx="383">
                    <c:v>2000</c:v>
                  </c:pt>
                  <c:pt idx="384">
                    <c:v>10000</c:v>
                  </c:pt>
                  <c:pt idx="385">
                    <c:v>300</c:v>
                  </c:pt>
                  <c:pt idx="386">
                    <c:v>20</c:v>
                  </c:pt>
                  <c:pt idx="387">
                    <c:v>10000</c:v>
                  </c:pt>
                  <c:pt idx="388">
                    <c:v>1</c:v>
                  </c:pt>
                  <c:pt idx="390">
                    <c:v>12000</c:v>
                  </c:pt>
                  <c:pt idx="391">
                    <c:v>2000</c:v>
                  </c:pt>
                  <c:pt idx="392">
                    <c:v>10000</c:v>
                  </c:pt>
                  <c:pt idx="393">
                    <c:v>250</c:v>
                  </c:pt>
                  <c:pt idx="394">
                    <c:v>15</c:v>
                  </c:pt>
                  <c:pt idx="395">
                    <c:v>1</c:v>
                  </c:pt>
                  <c:pt idx="396">
                    <c:v>1</c:v>
                  </c:pt>
                  <c:pt idx="398">
                    <c:v>12000</c:v>
                  </c:pt>
                  <c:pt idx="399">
                    <c:v>2000</c:v>
                  </c:pt>
                  <c:pt idx="400">
                    <c:v>10000</c:v>
                  </c:pt>
                  <c:pt idx="401">
                    <c:v>15000</c:v>
                  </c:pt>
                  <c:pt idx="402">
                    <c:v>300</c:v>
                  </c:pt>
                  <c:pt idx="403">
                    <c:v>11</c:v>
                  </c:pt>
                  <c:pt idx="404">
                    <c:v>10000</c:v>
                  </c:pt>
                  <c:pt idx="405">
                    <c:v>1</c:v>
                  </c:pt>
                  <c:pt idx="406">
                    <c:v>1</c:v>
                  </c:pt>
                  <c:pt idx="408">
                    <c:v>10000</c:v>
                  </c:pt>
                  <c:pt idx="409">
                    <c:v>6000</c:v>
                  </c:pt>
                  <c:pt idx="410">
                    <c:v>250</c:v>
                  </c:pt>
                  <c:pt idx="411">
                    <c:v>15</c:v>
                  </c:pt>
                  <c:pt idx="412">
                    <c:v>2000</c:v>
                  </c:pt>
                  <c:pt idx="413">
                    <c:v>1</c:v>
                  </c:pt>
                  <c:pt idx="414">
                    <c:v>1</c:v>
                  </c:pt>
                  <c:pt idx="416">
                    <c:v>20000</c:v>
                  </c:pt>
                  <c:pt idx="417">
                    <c:v>250</c:v>
                  </c:pt>
                  <c:pt idx="418">
                    <c:v>10</c:v>
                  </c:pt>
                  <c:pt idx="419">
                    <c:v>2000</c:v>
                  </c:pt>
                  <c:pt idx="420">
                    <c:v>1</c:v>
                  </c:pt>
                  <c:pt idx="421">
                    <c:v>1</c:v>
                  </c:pt>
                  <c:pt idx="423">
                    <c:v>30000</c:v>
                  </c:pt>
                  <c:pt idx="424">
                    <c:v>4000</c:v>
                  </c:pt>
                  <c:pt idx="425">
                    <c:v>40000</c:v>
                  </c:pt>
                  <c:pt idx="426">
                    <c:v>14000</c:v>
                  </c:pt>
                  <c:pt idx="427">
                    <c:v>300</c:v>
                  </c:pt>
                  <c:pt idx="428">
                    <c:v>20</c:v>
                  </c:pt>
                  <c:pt idx="429">
                    <c:v>15000</c:v>
                  </c:pt>
                  <c:pt idx="430">
                    <c:v>10000</c:v>
                  </c:pt>
                  <c:pt idx="431">
                    <c:v>10000</c:v>
                  </c:pt>
                  <c:pt idx="432">
                    <c:v>10000</c:v>
                  </c:pt>
                  <c:pt idx="433">
                    <c:v>1</c:v>
                  </c:pt>
                  <c:pt idx="434">
                    <c:v>1</c:v>
                  </c:pt>
                  <c:pt idx="435">
                    <c:v>35</c:v>
                  </c:pt>
                  <c:pt idx="436">
                    <c:v>10000</c:v>
                  </c:pt>
                  <c:pt idx="437">
                    <c:v>1</c:v>
                  </c:pt>
                  <c:pt idx="439">
                    <c:v>8000</c:v>
                  </c:pt>
                  <c:pt idx="440">
                    <c:v>6000</c:v>
                  </c:pt>
                  <c:pt idx="441">
                    <c:v>250</c:v>
                  </c:pt>
                  <c:pt idx="442">
                    <c:v>10</c:v>
                  </c:pt>
                  <c:pt idx="443">
                    <c:v>10000</c:v>
                  </c:pt>
                  <c:pt idx="444">
                    <c:v>2000</c:v>
                  </c:pt>
                  <c:pt idx="445">
                    <c:v>1</c:v>
                  </c:pt>
                  <c:pt idx="447">
                    <c:v>8000</c:v>
                  </c:pt>
                  <c:pt idx="448">
                    <c:v>30000</c:v>
                  </c:pt>
                  <c:pt idx="449">
                    <c:v>10000</c:v>
                  </c:pt>
                  <c:pt idx="450">
                    <c:v>300</c:v>
                  </c:pt>
                  <c:pt idx="451">
                    <c:v>15</c:v>
                  </c:pt>
                  <c:pt idx="452">
                    <c:v>10000</c:v>
                  </c:pt>
                  <c:pt idx="453">
                    <c:v>2000</c:v>
                  </c:pt>
                  <c:pt idx="454">
                    <c:v>1</c:v>
                  </c:pt>
                  <c:pt idx="456">
                    <c:v>16000</c:v>
                  </c:pt>
                  <c:pt idx="457">
                    <c:v>4000</c:v>
                  </c:pt>
                  <c:pt idx="458">
                    <c:v>12000</c:v>
                  </c:pt>
                  <c:pt idx="459">
                    <c:v>350</c:v>
                  </c:pt>
                  <c:pt idx="460">
                    <c:v>15</c:v>
                  </c:pt>
                  <c:pt idx="461">
                    <c:v>30000</c:v>
                  </c:pt>
                  <c:pt idx="462">
                    <c:v>1</c:v>
                  </c:pt>
                  <c:pt idx="464">
                    <c:v>12000</c:v>
                  </c:pt>
                  <c:pt idx="465">
                    <c:v>2000</c:v>
                  </c:pt>
                  <c:pt idx="466">
                    <c:v>20000</c:v>
                  </c:pt>
                  <c:pt idx="467">
                    <c:v>12000</c:v>
                  </c:pt>
                  <c:pt idx="468">
                    <c:v>300</c:v>
                  </c:pt>
                  <c:pt idx="469">
                    <c:v>15</c:v>
                  </c:pt>
                  <c:pt idx="470">
                    <c:v>10000</c:v>
                  </c:pt>
                  <c:pt idx="471">
                    <c:v>1</c:v>
                  </c:pt>
                  <c:pt idx="473">
                    <c:v>12000</c:v>
                  </c:pt>
                  <c:pt idx="474">
                    <c:v>10000</c:v>
                  </c:pt>
                  <c:pt idx="475">
                    <c:v>350</c:v>
                  </c:pt>
                  <c:pt idx="476">
                    <c:v>15</c:v>
                  </c:pt>
                  <c:pt idx="477">
                    <c:v>10000</c:v>
                  </c:pt>
                  <c:pt idx="478">
                    <c:v>2000</c:v>
                  </c:pt>
                  <c:pt idx="479">
                    <c:v>1</c:v>
                  </c:pt>
                  <c:pt idx="481">
                    <c:v>20000</c:v>
                  </c:pt>
                  <c:pt idx="482">
                    <c:v>12000</c:v>
                  </c:pt>
                  <c:pt idx="483">
                    <c:v>300</c:v>
                  </c:pt>
                  <c:pt idx="484">
                    <c:v>15</c:v>
                  </c:pt>
                  <c:pt idx="485">
                    <c:v>12000</c:v>
                  </c:pt>
                  <c:pt idx="486">
                    <c:v>4000</c:v>
                  </c:pt>
                  <c:pt idx="487">
                    <c:v>1</c:v>
                  </c:pt>
                  <c:pt idx="489">
                    <c:v>16000</c:v>
                  </c:pt>
                  <c:pt idx="490">
                    <c:v>12000</c:v>
                  </c:pt>
                  <c:pt idx="491">
                    <c:v>300</c:v>
                  </c:pt>
                  <c:pt idx="492">
                    <c:v>15</c:v>
                  </c:pt>
                  <c:pt idx="493">
                    <c:v>10000</c:v>
                  </c:pt>
                  <c:pt idx="494">
                    <c:v>2000</c:v>
                  </c:pt>
                  <c:pt idx="495">
                    <c:v>1</c:v>
                  </c:pt>
                  <c:pt idx="497">
                    <c:v>30000</c:v>
                  </c:pt>
                  <c:pt idx="498">
                    <c:v>10000</c:v>
                  </c:pt>
                  <c:pt idx="499">
                    <c:v>300</c:v>
                  </c:pt>
                  <c:pt idx="500">
                    <c:v>15</c:v>
                  </c:pt>
                  <c:pt idx="501">
                    <c:v>10000</c:v>
                  </c:pt>
                  <c:pt idx="502">
                    <c:v>4000</c:v>
                  </c:pt>
                  <c:pt idx="503">
                    <c:v>1</c:v>
                  </c:pt>
                  <c:pt idx="505">
                    <c:v>28000</c:v>
                  </c:pt>
                  <c:pt idx="506">
                    <c:v>4000</c:v>
                  </c:pt>
                  <c:pt idx="507">
                    <c:v>12000</c:v>
                  </c:pt>
                  <c:pt idx="508">
                    <c:v>300</c:v>
                  </c:pt>
                  <c:pt idx="509">
                    <c:v>15</c:v>
                  </c:pt>
                  <c:pt idx="510">
                    <c:v>20000</c:v>
                  </c:pt>
                  <c:pt idx="511">
                    <c:v>1</c:v>
                  </c:pt>
                  <c:pt idx="513">
                    <c:v>4000</c:v>
                  </c:pt>
                  <c:pt idx="514">
                    <c:v>2000</c:v>
                  </c:pt>
                  <c:pt idx="515">
                    <c:v>300</c:v>
                  </c:pt>
                  <c:pt idx="516">
                    <c:v>10</c:v>
                  </c:pt>
                  <c:pt idx="517">
                    <c:v>10</c:v>
                  </c:pt>
                  <c:pt idx="518">
                    <c:v>1</c:v>
                  </c:pt>
                  <c:pt idx="520">
                    <c:v>16000</c:v>
                  </c:pt>
                  <c:pt idx="521">
                    <c:v>2000</c:v>
                  </c:pt>
                  <c:pt idx="522">
                    <c:v>12000</c:v>
                  </c:pt>
                  <c:pt idx="523">
                    <c:v>300</c:v>
                  </c:pt>
                  <c:pt idx="524">
                    <c:v>12</c:v>
                  </c:pt>
                  <c:pt idx="525">
                    <c:v>10000</c:v>
                  </c:pt>
                  <c:pt idx="526">
                    <c:v>1</c:v>
                  </c:pt>
                  <c:pt idx="528">
                    <c:v>14000</c:v>
                  </c:pt>
                  <c:pt idx="529">
                    <c:v>2000</c:v>
                  </c:pt>
                  <c:pt idx="530">
                    <c:v>10000</c:v>
                  </c:pt>
                  <c:pt idx="531">
                    <c:v>340</c:v>
                  </c:pt>
                  <c:pt idx="532">
                    <c:v>12</c:v>
                  </c:pt>
                  <c:pt idx="533">
                    <c:v>10000</c:v>
                  </c:pt>
                  <c:pt idx="534">
                    <c:v>1</c:v>
                  </c:pt>
                  <c:pt idx="538">
                    <c:v>کمیت</c:v>
                  </c:pt>
                  <c:pt idx="539">
                    <c:v>4</c:v>
                  </c:pt>
                  <c:pt idx="540">
                    <c:v>10</c:v>
                  </c:pt>
                  <c:pt idx="541">
                    <c:v>1000</c:v>
                  </c:pt>
                  <c:pt idx="542">
                    <c:v>1</c:v>
                  </c:pt>
                  <c:pt idx="544">
                    <c:v>کمیت</c:v>
                  </c:pt>
                  <c:pt idx="545">
                    <c:v>1</c:v>
                  </c:pt>
                  <c:pt idx="546">
                    <c:v>15</c:v>
                  </c:pt>
                  <c:pt idx="548">
                    <c:v>کمیت</c:v>
                  </c:pt>
                  <c:pt idx="549">
                    <c:v>9</c:v>
                  </c:pt>
                  <c:pt idx="553">
                    <c:v>1</c:v>
                  </c:pt>
                  <c:pt idx="581">
                    <c:v>معیاد </c:v>
                  </c:pt>
                  <c:pt idx="582">
                    <c:v>تاریخ آغاز</c:v>
                  </c:pt>
                  <c:pt idx="583">
                    <c:v>1396/10/1</c:v>
                  </c:pt>
                  <c:pt idx="584">
                    <c:v>1396/10/1</c:v>
                  </c:pt>
                  <c:pt idx="585">
                    <c:v>1396/10/1</c:v>
                  </c:pt>
                  <c:pt idx="587">
                    <c:v>تاریخ آغاز</c:v>
                  </c:pt>
                  <c:pt idx="588">
                    <c:v>1396/10/1</c:v>
                  </c:pt>
                  <c:pt idx="589">
                    <c:v>1396/10/1</c:v>
                  </c:pt>
                  <c:pt idx="590">
                    <c:v>1396/10/1</c:v>
                  </c:pt>
                  <c:pt idx="592">
                    <c:v>تاریخ آغاز</c:v>
                  </c:pt>
                  <c:pt idx="593">
                    <c:v>1396/10/1</c:v>
                  </c:pt>
                  <c:pt idx="594">
                    <c:v>1396/10/1</c:v>
                  </c:pt>
                  <c:pt idx="595">
                    <c:v>1396/10/1</c:v>
                  </c:pt>
                  <c:pt idx="596">
                    <c:v>1396/10/1</c:v>
                  </c:pt>
                  <c:pt idx="598">
                    <c:v>تاریخ آغاز</c:v>
                  </c:pt>
                  <c:pt idx="599">
                    <c:v>1396/10/1</c:v>
                  </c:pt>
                  <c:pt idx="600">
                    <c:v>1396/10/1</c:v>
                  </c:pt>
                  <c:pt idx="601">
                    <c:v>1396/10/1</c:v>
                  </c:pt>
                  <c:pt idx="603">
                    <c:v>تاریخ آغاز</c:v>
                  </c:pt>
                  <c:pt idx="604">
                    <c:v>1396/10/1</c:v>
                  </c:pt>
                  <c:pt idx="605">
                    <c:v>1396/10/1</c:v>
                  </c:pt>
                  <c:pt idx="606">
                    <c:v>1396/10/1</c:v>
                  </c:pt>
                  <c:pt idx="608">
                    <c:v>تاریخ آغاز</c:v>
                  </c:pt>
                  <c:pt idx="609">
                    <c:v>1396/10/1</c:v>
                  </c:pt>
                  <c:pt idx="610">
                    <c:v>1396/10/1</c:v>
                  </c:pt>
                  <c:pt idx="612">
                    <c:v>تاریخ آغاز</c:v>
                  </c:pt>
                  <c:pt idx="613">
                    <c:v>1396/10/1</c:v>
                  </c:pt>
                  <c:pt idx="614">
                    <c:v>1396/10/1</c:v>
                  </c:pt>
                  <c:pt idx="616">
                    <c:v>تاریخ آغاز</c:v>
                  </c:pt>
                  <c:pt idx="617">
                    <c:v>1396/10/1</c:v>
                  </c:pt>
                  <c:pt idx="618">
                    <c:v>1396/10/1</c:v>
                  </c:pt>
                  <c:pt idx="620">
                    <c:v>تاریخ آغاز</c:v>
                  </c:pt>
                  <c:pt idx="621">
                    <c:v>1396/10/1</c:v>
                  </c:pt>
                  <c:pt idx="622">
                    <c:v>1396/10/1</c:v>
                  </c:pt>
                  <c:pt idx="623">
                    <c:v>1396/10/1</c:v>
                  </c:pt>
                  <c:pt idx="624">
                    <c:v>1396/10/1</c:v>
                  </c:pt>
                  <c:pt idx="626">
                    <c:v>تاریخ آغاز</c:v>
                  </c:pt>
                  <c:pt idx="627">
                    <c:v>1396/10/1</c:v>
                  </c:pt>
                  <c:pt idx="628">
                    <c:v>1396/10/1</c:v>
                  </c:pt>
                  <c:pt idx="629">
                    <c:v>1396/10/1</c:v>
                  </c:pt>
                  <c:pt idx="630">
                    <c:v>1396/10/1</c:v>
                  </c:pt>
                  <c:pt idx="631">
                    <c:v>1396/10/1</c:v>
                  </c:pt>
                  <c:pt idx="633">
                    <c:v>تاریخ آغاز</c:v>
                  </c:pt>
                  <c:pt idx="634">
                    <c:v>1396/10/1</c:v>
                  </c:pt>
                  <c:pt idx="635">
                    <c:v>1396/10/1</c:v>
                  </c:pt>
                  <c:pt idx="636">
                    <c:v>1396/10/1</c:v>
                  </c:pt>
                  <c:pt idx="638">
                    <c:v>تاریخ آغاز</c:v>
                  </c:pt>
                  <c:pt idx="639">
                    <c:v>1396/10/1</c:v>
                  </c:pt>
                  <c:pt idx="640">
                    <c:v>1396/10/1</c:v>
                  </c:pt>
                  <c:pt idx="641">
                    <c:v>1396/10/1</c:v>
                  </c:pt>
                  <c:pt idx="643">
                    <c:v>تاریخ آغاز</c:v>
                  </c:pt>
                  <c:pt idx="644">
                    <c:v>1396/10/1</c:v>
                  </c:pt>
                  <c:pt idx="645">
                    <c:v>1396/10/1</c:v>
                  </c:pt>
                  <c:pt idx="647">
                    <c:v> -   </c:v>
                  </c:pt>
                  <c:pt idx="649">
                    <c:v>معیاد پروژه </c:v>
                  </c:pt>
                  <c:pt idx="650">
                    <c:v>تاریخ آغاز</c:v>
                  </c:pt>
                  <c:pt idx="651">
                    <c:v>1جدی</c:v>
                  </c:pt>
                  <c:pt idx="652">
                    <c:v>30حوت</c:v>
                  </c:pt>
                  <c:pt idx="655">
                    <c:v>1 حوت </c:v>
                  </c:pt>
                  <c:pt idx="656">
                    <c:v>1 حوت</c:v>
                  </c:pt>
                  <c:pt idx="658">
                    <c:v>1میزان </c:v>
                  </c:pt>
                  <c:pt idx="659">
                    <c:v>1عقرب</c:v>
                  </c:pt>
                  <c:pt idx="660">
                    <c:v>1جوزا</c:v>
                  </c:pt>
                  <c:pt idx="661">
                    <c:v>1جوزا</c:v>
                  </c:pt>
                  <c:pt idx="662">
                    <c:v>1عقرب</c:v>
                  </c:pt>
                  <c:pt idx="663">
                    <c:v>12 جدی</c:v>
                  </c:pt>
                  <c:pt idx="665">
                    <c:v>تاریخ آغاز</c:v>
                  </c:pt>
                  <c:pt idx="667">
                    <c:v>1حمل</c:v>
                  </c:pt>
                  <c:pt idx="668">
                    <c:v>1جدی</c:v>
                  </c:pt>
                  <c:pt idx="669">
                    <c:v>12 جدی</c:v>
                  </c:pt>
                  <c:pt idx="670">
                    <c:v>15دلو</c:v>
                  </c:pt>
                  <c:pt idx="671">
                    <c:v>15دلو</c:v>
                  </c:pt>
                  <c:pt idx="672">
                    <c:v>1عقرب</c:v>
                  </c:pt>
                  <c:pt idx="673">
                    <c:v>1دلو</c:v>
                  </c:pt>
                  <c:pt idx="674">
                    <c:v>1عقرب</c:v>
                  </c:pt>
                  <c:pt idx="675">
                    <c:v>1عقرب</c:v>
                  </c:pt>
                  <c:pt idx="676">
                    <c:v>1عقرب</c:v>
                  </c:pt>
                  <c:pt idx="677">
                    <c:v>1عقرب</c:v>
                  </c:pt>
                  <c:pt idx="678">
                    <c:v>1حوت</c:v>
                  </c:pt>
                  <c:pt idx="679">
                    <c:v>1جدی</c:v>
                  </c:pt>
                  <c:pt idx="680">
                    <c:v>15حوت</c:v>
                  </c:pt>
                  <c:pt idx="681">
                    <c:v>15حوت</c:v>
                  </c:pt>
                  <c:pt idx="682">
                    <c:v>اول ثور</c:v>
                  </c:pt>
                  <c:pt idx="683">
                    <c:v>1ثور</c:v>
                  </c:pt>
                  <c:pt idx="685">
                    <c:v>1میزان </c:v>
                  </c:pt>
                  <c:pt idx="686">
                    <c:v>1عقرب</c:v>
                  </c:pt>
                  <c:pt idx="687">
                    <c:v>1جوزا</c:v>
                  </c:pt>
                  <c:pt idx="688">
                    <c:v>1جوزا</c:v>
                  </c:pt>
                  <c:pt idx="689">
                    <c:v>1عقرب</c:v>
                  </c:pt>
                  <c:pt idx="690">
                    <c:v>12 جدی</c:v>
                  </c:pt>
                  <c:pt idx="691">
                    <c:v>12 جدی</c:v>
                  </c:pt>
                  <c:pt idx="693">
                    <c:v>تاریخ آغاز</c:v>
                  </c:pt>
                  <c:pt idx="694">
                    <c:v>1جدی</c:v>
                  </c:pt>
                  <c:pt idx="695">
                    <c:v>30حوت</c:v>
                  </c:pt>
                  <c:pt idx="696">
                    <c:v>اجدی</c:v>
                  </c:pt>
                  <c:pt idx="697">
                    <c:v>اجدی</c:v>
                  </c:pt>
                  <c:pt idx="698">
                    <c:v>1 حوت </c:v>
                  </c:pt>
                  <c:pt idx="699">
                    <c:v>1 حوت</c:v>
                  </c:pt>
                  <c:pt idx="701">
                    <c:v>1میزان </c:v>
                  </c:pt>
                  <c:pt idx="702">
                    <c:v>1عقرب</c:v>
                  </c:pt>
                  <c:pt idx="703">
                    <c:v>1جوزا</c:v>
                  </c:pt>
                  <c:pt idx="704">
                    <c:v>1جوزا</c:v>
                  </c:pt>
                  <c:pt idx="705">
                    <c:v>1عقرب</c:v>
                  </c:pt>
                  <c:pt idx="706">
                    <c:v>12 جدی</c:v>
                  </c:pt>
                  <c:pt idx="708">
                    <c:v>تاریخ آغاز</c:v>
                  </c:pt>
                  <c:pt idx="709">
                    <c:v>1جدی</c:v>
                  </c:pt>
                  <c:pt idx="710">
                    <c:v>12 جدی</c:v>
                  </c:pt>
                  <c:pt idx="711">
                    <c:v>15دلو</c:v>
                  </c:pt>
                  <c:pt idx="712">
                    <c:v>15دلو</c:v>
                  </c:pt>
                  <c:pt idx="713">
                    <c:v>1عقرب</c:v>
                  </c:pt>
                  <c:pt idx="714">
                    <c:v>1دلو</c:v>
                  </c:pt>
                  <c:pt idx="715">
                    <c:v>1عقرب</c:v>
                  </c:pt>
                  <c:pt idx="716">
                    <c:v>1عقرب</c:v>
                  </c:pt>
                  <c:pt idx="717">
                    <c:v>1عقرب</c:v>
                  </c:pt>
                  <c:pt idx="718">
                    <c:v>1عقرب</c:v>
                  </c:pt>
                  <c:pt idx="719">
                    <c:v>1حوت</c:v>
                  </c:pt>
                  <c:pt idx="720">
                    <c:v>1جدی</c:v>
                  </c:pt>
                  <c:pt idx="721">
                    <c:v>15حوت</c:v>
                  </c:pt>
                  <c:pt idx="722">
                    <c:v>15حوت</c:v>
                  </c:pt>
                  <c:pt idx="723">
                    <c:v>اول ثور</c:v>
                  </c:pt>
                  <c:pt idx="724">
                    <c:v>1ثور</c:v>
                  </c:pt>
                  <c:pt idx="726">
                    <c:v>1میزان</c:v>
                  </c:pt>
                  <c:pt idx="727">
                    <c:v>1عقرب</c:v>
                  </c:pt>
                  <c:pt idx="728">
                    <c:v>1عقرب</c:v>
                  </c:pt>
                  <c:pt idx="729">
                    <c:v>1جوزا</c:v>
                  </c:pt>
                  <c:pt idx="730">
                    <c:v>1جوزا</c:v>
                  </c:pt>
                  <c:pt idx="731">
                    <c:v>1عقرب</c:v>
                  </c:pt>
                  <c:pt idx="732">
                    <c:v>1عقرب</c:v>
                  </c:pt>
                  <c:pt idx="733">
                    <c:v>12 جدی</c:v>
                  </c:pt>
                  <c:pt idx="734">
                    <c:v>12 جدی</c:v>
                  </c:pt>
                  <c:pt idx="736">
                    <c:v>تاریخ آغاز</c:v>
                  </c:pt>
                  <c:pt idx="737">
                    <c:v>1جدی</c:v>
                  </c:pt>
                  <c:pt idx="738">
                    <c:v>30حوت</c:v>
                  </c:pt>
                  <c:pt idx="739">
                    <c:v>اجدی</c:v>
                  </c:pt>
                  <c:pt idx="740">
                    <c:v>1جدی</c:v>
                  </c:pt>
                  <c:pt idx="741">
                    <c:v>1 حوت </c:v>
                  </c:pt>
                  <c:pt idx="742">
                    <c:v>1 حوت</c:v>
                  </c:pt>
                  <c:pt idx="744">
                    <c:v>1میزان</c:v>
                  </c:pt>
                  <c:pt idx="745">
                    <c:v>1عقرب</c:v>
                  </c:pt>
                  <c:pt idx="746">
                    <c:v>1جوزا</c:v>
                  </c:pt>
                  <c:pt idx="747">
                    <c:v>1جوزا</c:v>
                  </c:pt>
                  <c:pt idx="748">
                    <c:v>1عقرب</c:v>
                  </c:pt>
                  <c:pt idx="749">
                    <c:v>1جدی</c:v>
                  </c:pt>
                  <c:pt idx="751">
                    <c:v>تاریخ آغاز</c:v>
                  </c:pt>
                  <c:pt idx="752">
                    <c:v>1حمل</c:v>
                  </c:pt>
                  <c:pt idx="753">
                    <c:v>1حمل</c:v>
                  </c:pt>
                  <c:pt idx="754">
                    <c:v>1جدی</c:v>
                  </c:pt>
                  <c:pt idx="755">
                    <c:v>اول ثور</c:v>
                  </c:pt>
                  <c:pt idx="756">
                    <c:v>1ثور</c:v>
                  </c:pt>
                  <c:pt idx="757">
                    <c:v>1جدی</c:v>
                  </c:pt>
                  <c:pt idx="759">
                    <c:v>تاریخ آغاز</c:v>
                  </c:pt>
                  <c:pt idx="760">
                    <c:v>1حمل</c:v>
                  </c:pt>
                  <c:pt idx="761">
                    <c:v>1جدی</c:v>
                  </c:pt>
                  <c:pt idx="762">
                    <c:v>1ثور</c:v>
                  </c:pt>
                  <c:pt idx="763">
                    <c:v>اول ثور</c:v>
                  </c:pt>
                  <c:pt idx="764">
                    <c:v>1جدی</c:v>
                  </c:pt>
                  <c:pt idx="766">
                    <c:v>تاریخ آغاز</c:v>
                  </c:pt>
                  <c:pt idx="767">
                    <c:v>1حمل</c:v>
                  </c:pt>
                  <c:pt idx="768">
                    <c:v>1جدی</c:v>
                  </c:pt>
                  <c:pt idx="769">
                    <c:v>1حمل</c:v>
                  </c:pt>
                  <c:pt idx="770">
                    <c:v>12 جدی</c:v>
                  </c:pt>
                  <c:pt idx="771">
                    <c:v>12 جدی</c:v>
                  </c:pt>
                  <c:pt idx="772">
                    <c:v>15دلو</c:v>
                  </c:pt>
                  <c:pt idx="773">
                    <c:v>15دلو</c:v>
                  </c:pt>
                  <c:pt idx="774">
                    <c:v>1عقرب</c:v>
                  </c:pt>
                  <c:pt idx="775">
                    <c:v>1دلو</c:v>
                  </c:pt>
                  <c:pt idx="776">
                    <c:v>1عقرب</c:v>
                  </c:pt>
                  <c:pt idx="777">
                    <c:v>1عقرب</c:v>
                  </c:pt>
                  <c:pt idx="778">
                    <c:v>1عقرب</c:v>
                  </c:pt>
                  <c:pt idx="779">
                    <c:v>1عقرب</c:v>
                  </c:pt>
                  <c:pt idx="780">
                    <c:v>1حوت</c:v>
                  </c:pt>
                  <c:pt idx="781">
                    <c:v>1جدی</c:v>
                  </c:pt>
                  <c:pt idx="782">
                    <c:v>15حوت</c:v>
                  </c:pt>
                  <c:pt idx="783">
                    <c:v>15حوت</c:v>
                  </c:pt>
                  <c:pt idx="784">
                    <c:v>اول ثور</c:v>
                  </c:pt>
                  <c:pt idx="785">
                    <c:v>1ثور</c:v>
                  </c:pt>
                  <c:pt idx="786">
                    <c:v>1جدی</c:v>
                  </c:pt>
                  <c:pt idx="787">
                    <c:v>1میزان</c:v>
                  </c:pt>
                  <c:pt idx="788">
                    <c:v>1عقرب</c:v>
                  </c:pt>
                  <c:pt idx="789">
                    <c:v>1جوزا</c:v>
                  </c:pt>
                  <c:pt idx="790">
                    <c:v>1جوزا</c:v>
                  </c:pt>
                  <c:pt idx="791">
                    <c:v>1عقرب</c:v>
                  </c:pt>
                  <c:pt idx="792">
                    <c:v>1جدی</c:v>
                  </c:pt>
                  <c:pt idx="793">
                    <c:v>1جدی</c:v>
                  </c:pt>
                  <c:pt idx="795">
                    <c:v>تاریخ آغاز</c:v>
                  </c:pt>
                  <c:pt idx="796">
                    <c:v>1جدی</c:v>
                  </c:pt>
                  <c:pt idx="797">
                    <c:v>اجدی</c:v>
                  </c:pt>
                  <c:pt idx="798">
                    <c:v>12 جدی</c:v>
                  </c:pt>
                  <c:pt idx="799">
                    <c:v>15دلو</c:v>
                  </c:pt>
                  <c:pt idx="800">
                    <c:v>15دلو</c:v>
                  </c:pt>
                  <c:pt idx="801">
                    <c:v>1عقرب</c:v>
                  </c:pt>
                  <c:pt idx="802">
                    <c:v>1دلو</c:v>
                  </c:pt>
                  <c:pt idx="803">
                    <c:v>1عقرب</c:v>
                  </c:pt>
                  <c:pt idx="804">
                    <c:v>1عقرب</c:v>
                  </c:pt>
                  <c:pt idx="805">
                    <c:v>1عقرب</c:v>
                  </c:pt>
                  <c:pt idx="806">
                    <c:v>1عقرب</c:v>
                  </c:pt>
                  <c:pt idx="807">
                    <c:v>1حوت</c:v>
                  </c:pt>
                  <c:pt idx="808">
                    <c:v>1جدی</c:v>
                  </c:pt>
                  <c:pt idx="809">
                    <c:v>15حوت</c:v>
                  </c:pt>
                  <c:pt idx="810">
                    <c:v>15حوت</c:v>
                  </c:pt>
                  <c:pt idx="811">
                    <c:v>اول ثور</c:v>
                  </c:pt>
                  <c:pt idx="812">
                    <c:v>1ثور</c:v>
                  </c:pt>
                  <c:pt idx="813">
                    <c:v>12 جدی</c:v>
                  </c:pt>
                  <c:pt idx="814">
                    <c:v>12 جدی</c:v>
                  </c:pt>
                  <c:pt idx="816">
                    <c:v>تاریخ آغاز</c:v>
                  </c:pt>
                  <c:pt idx="817">
                    <c:v>1جدی</c:v>
                  </c:pt>
                  <c:pt idx="818">
                    <c:v>30حوت</c:v>
                  </c:pt>
                  <c:pt idx="819">
                    <c:v>اجدی</c:v>
                  </c:pt>
                  <c:pt idx="820">
                    <c:v>1 حوت </c:v>
                  </c:pt>
                  <c:pt idx="821">
                    <c:v>1 حوت</c:v>
                  </c:pt>
                  <c:pt idx="822">
                    <c:v>12 جدی</c:v>
                  </c:pt>
                  <c:pt idx="824">
                    <c:v>تاریخ آغاز</c:v>
                  </c:pt>
                  <c:pt idx="825">
                    <c:v>1جدی</c:v>
                  </c:pt>
                  <c:pt idx="826">
                    <c:v>30حوت</c:v>
                  </c:pt>
                  <c:pt idx="827">
                    <c:v>اجدی</c:v>
                  </c:pt>
                  <c:pt idx="828">
                    <c:v>1 حوت </c:v>
                  </c:pt>
                  <c:pt idx="829">
                    <c:v>1 حوت</c:v>
                  </c:pt>
                  <c:pt idx="830">
                    <c:v>12 جدی</c:v>
                  </c:pt>
                  <c:pt idx="832">
                    <c:v>تاریخ آغاز</c:v>
                  </c:pt>
                  <c:pt idx="833">
                    <c:v>1جدی</c:v>
                  </c:pt>
                  <c:pt idx="834">
                    <c:v>30حوت</c:v>
                  </c:pt>
                  <c:pt idx="835">
                    <c:v>اجدی</c:v>
                  </c:pt>
                  <c:pt idx="836">
                    <c:v>1 حوت </c:v>
                  </c:pt>
                  <c:pt idx="837">
                    <c:v>1 حوت</c:v>
                  </c:pt>
                  <c:pt idx="838">
                    <c:v>12 جدی</c:v>
                  </c:pt>
                  <c:pt idx="840">
                    <c:v>تاریخ آغاز</c:v>
                  </c:pt>
                  <c:pt idx="841">
                    <c:v>1جدی</c:v>
                  </c:pt>
                  <c:pt idx="842">
                    <c:v>30حوت</c:v>
                  </c:pt>
                  <c:pt idx="843">
                    <c:v>اجدی</c:v>
                  </c:pt>
                  <c:pt idx="844">
                    <c:v>1 حوت </c:v>
                  </c:pt>
                  <c:pt idx="845">
                    <c:v>1 حوت</c:v>
                  </c:pt>
                  <c:pt idx="846">
                    <c:v>12 جدی</c:v>
                  </c:pt>
                  <c:pt idx="848">
                    <c:v>تاریخ آغاز</c:v>
                  </c:pt>
                  <c:pt idx="849">
                    <c:v>1جدی</c:v>
                  </c:pt>
                  <c:pt idx="850">
                    <c:v>30حوت</c:v>
                  </c:pt>
                  <c:pt idx="851">
                    <c:v>اجدی</c:v>
                  </c:pt>
                  <c:pt idx="852">
                    <c:v>1 حوت </c:v>
                  </c:pt>
                  <c:pt idx="853">
                    <c:v>1 حوت</c:v>
                  </c:pt>
                  <c:pt idx="855">
                    <c:v>1میزان</c:v>
                  </c:pt>
                  <c:pt idx="856">
                    <c:v>1عقرب</c:v>
                  </c:pt>
                  <c:pt idx="857">
                    <c:v>1جوزا</c:v>
                  </c:pt>
                  <c:pt idx="858">
                    <c:v>1جوزا</c:v>
                  </c:pt>
                  <c:pt idx="859">
                    <c:v>1عقرب</c:v>
                  </c:pt>
                  <c:pt idx="860">
                    <c:v>12 جدی</c:v>
                  </c:pt>
                  <c:pt idx="862">
                    <c:v>تاریخ آغاز</c:v>
                  </c:pt>
                  <c:pt idx="863">
                    <c:v>1جدی</c:v>
                  </c:pt>
                  <c:pt idx="864">
                    <c:v>30حوت</c:v>
                  </c:pt>
                  <c:pt idx="865">
                    <c:v>اجدی</c:v>
                  </c:pt>
                  <c:pt idx="866">
                    <c:v>1 حوت </c:v>
                  </c:pt>
                  <c:pt idx="867">
                    <c:v>1 حوت</c:v>
                  </c:pt>
                  <c:pt idx="869">
                    <c:v>1میزان</c:v>
                  </c:pt>
                  <c:pt idx="870">
                    <c:v>1عقرب</c:v>
                  </c:pt>
                  <c:pt idx="871">
                    <c:v>1جوزا</c:v>
                  </c:pt>
                  <c:pt idx="872">
                    <c:v>1جوزا</c:v>
                  </c:pt>
                  <c:pt idx="873">
                    <c:v>1عقرب</c:v>
                  </c:pt>
                  <c:pt idx="874">
                    <c:v>12 جدی</c:v>
                  </c:pt>
                  <c:pt idx="878">
                    <c:v> -   </c:v>
                  </c:pt>
                  <c:pt idx="879">
                    <c:v> -   </c:v>
                  </c:pt>
                  <c:pt idx="881">
                    <c:v>تاریخ آغاز</c:v>
                  </c:pt>
                  <c:pt idx="882">
                    <c:v>1جدی</c:v>
                  </c:pt>
                  <c:pt idx="883">
                    <c:v>1جدی</c:v>
                  </c:pt>
                  <c:pt idx="884">
                    <c:v>1جدی</c:v>
                  </c:pt>
                  <c:pt idx="885">
                    <c:v>1جدی</c:v>
                  </c:pt>
                  <c:pt idx="886">
                    <c:v>1جدی</c:v>
                  </c:pt>
                  <c:pt idx="887">
                    <c:v>1جدی</c:v>
                  </c:pt>
                  <c:pt idx="888">
                    <c:v>1جدی</c:v>
                  </c:pt>
                  <c:pt idx="890">
                    <c:v>1جدی</c:v>
                  </c:pt>
                  <c:pt idx="891">
                    <c:v>1جدی</c:v>
                  </c:pt>
                  <c:pt idx="892">
                    <c:v>1جدی</c:v>
                  </c:pt>
                  <c:pt idx="893">
                    <c:v>1جدی</c:v>
                  </c:pt>
                  <c:pt idx="894">
                    <c:v>1جدی</c:v>
                  </c:pt>
                  <c:pt idx="895">
                    <c:v>1جدی</c:v>
                  </c:pt>
                  <c:pt idx="896">
                    <c:v>1جدی</c:v>
                  </c:pt>
                  <c:pt idx="898">
                    <c:v>1جدی</c:v>
                  </c:pt>
                  <c:pt idx="899">
                    <c:v>1جدی</c:v>
                  </c:pt>
                  <c:pt idx="900">
                    <c:v>1جدی</c:v>
                  </c:pt>
                  <c:pt idx="901">
                    <c:v>1جدی</c:v>
                  </c:pt>
                  <c:pt idx="902">
                    <c:v>1جدی</c:v>
                  </c:pt>
                  <c:pt idx="903">
                    <c:v>1جدی</c:v>
                  </c:pt>
                  <c:pt idx="904">
                    <c:v>1جدی</c:v>
                  </c:pt>
                  <c:pt idx="906">
                    <c:v>1جدی</c:v>
                  </c:pt>
                  <c:pt idx="907">
                    <c:v>1جدی</c:v>
                  </c:pt>
                  <c:pt idx="908">
                    <c:v>1جدی</c:v>
                  </c:pt>
                  <c:pt idx="909">
                    <c:v>1جدی</c:v>
                  </c:pt>
                  <c:pt idx="910">
                    <c:v>1جدی</c:v>
                  </c:pt>
                  <c:pt idx="911">
                    <c:v>1جدی</c:v>
                  </c:pt>
                  <c:pt idx="913">
                    <c:v>1جدی</c:v>
                  </c:pt>
                  <c:pt idx="914">
                    <c:v>1جدی</c:v>
                  </c:pt>
                  <c:pt idx="915">
                    <c:v>1جدی</c:v>
                  </c:pt>
                  <c:pt idx="916">
                    <c:v>1جدی</c:v>
                  </c:pt>
                  <c:pt idx="917">
                    <c:v>1جدی</c:v>
                  </c:pt>
                  <c:pt idx="918">
                    <c:v>1جدی</c:v>
                  </c:pt>
                  <c:pt idx="919">
                    <c:v>1جدی</c:v>
                  </c:pt>
                  <c:pt idx="921">
                    <c:v>1جدی</c:v>
                  </c:pt>
                  <c:pt idx="922">
                    <c:v>1جدی</c:v>
                  </c:pt>
                  <c:pt idx="923">
                    <c:v>1جدی</c:v>
                  </c:pt>
                  <c:pt idx="924">
                    <c:v>1جدی</c:v>
                  </c:pt>
                  <c:pt idx="925">
                    <c:v>1جدی</c:v>
                  </c:pt>
                  <c:pt idx="927">
                    <c:v>1جدی</c:v>
                  </c:pt>
                  <c:pt idx="928">
                    <c:v>1جدی</c:v>
                  </c:pt>
                  <c:pt idx="929">
                    <c:v>1جدی</c:v>
                  </c:pt>
                  <c:pt idx="930">
                    <c:v>1جدی</c:v>
                  </c:pt>
                  <c:pt idx="931">
                    <c:v>1جدی</c:v>
                  </c:pt>
                  <c:pt idx="932">
                    <c:v>1جدی</c:v>
                  </c:pt>
                  <c:pt idx="933">
                    <c:v>1جدی</c:v>
                  </c:pt>
                  <c:pt idx="934">
                    <c:v>1جدی</c:v>
                  </c:pt>
                  <c:pt idx="936">
                    <c:v>1جدی</c:v>
                  </c:pt>
                  <c:pt idx="937">
                    <c:v>1جدی</c:v>
                  </c:pt>
                  <c:pt idx="938">
                    <c:v>1جدی</c:v>
                  </c:pt>
                  <c:pt idx="939">
                    <c:v>1جدی</c:v>
                  </c:pt>
                  <c:pt idx="940">
                    <c:v>1جدی</c:v>
                  </c:pt>
                  <c:pt idx="941">
                    <c:v>1جدی</c:v>
                  </c:pt>
                  <c:pt idx="942">
                    <c:v>1جدی</c:v>
                  </c:pt>
                  <c:pt idx="944">
                    <c:v>1جدی</c:v>
                  </c:pt>
                  <c:pt idx="945">
                    <c:v>1جدی</c:v>
                  </c:pt>
                  <c:pt idx="946">
                    <c:v>1جدی</c:v>
                  </c:pt>
                  <c:pt idx="947">
                    <c:v>1جدی</c:v>
                  </c:pt>
                  <c:pt idx="948">
                    <c:v>1جدی</c:v>
                  </c:pt>
                  <c:pt idx="949">
                    <c:v>1جدی</c:v>
                  </c:pt>
                  <c:pt idx="950">
                    <c:v>1جدی</c:v>
                  </c:pt>
                  <c:pt idx="952">
                    <c:v>1جدی</c:v>
                  </c:pt>
                  <c:pt idx="953">
                    <c:v>1جدی</c:v>
                  </c:pt>
                  <c:pt idx="954">
                    <c:v>1جدی</c:v>
                  </c:pt>
                  <c:pt idx="955">
                    <c:v>1جدی</c:v>
                  </c:pt>
                  <c:pt idx="956">
                    <c:v>1جدی</c:v>
                  </c:pt>
                  <c:pt idx="957">
                    <c:v>1جدی</c:v>
                  </c:pt>
                  <c:pt idx="958">
                    <c:v>1جدی</c:v>
                  </c:pt>
                  <c:pt idx="959">
                    <c:v>1جدی</c:v>
                  </c:pt>
                  <c:pt idx="961">
                    <c:v>1جدی</c:v>
                  </c:pt>
                  <c:pt idx="962">
                    <c:v>1جدی</c:v>
                  </c:pt>
                  <c:pt idx="963">
                    <c:v>1جدی</c:v>
                  </c:pt>
                  <c:pt idx="964">
                    <c:v>1جدی</c:v>
                  </c:pt>
                  <c:pt idx="965">
                    <c:v>1جدی</c:v>
                  </c:pt>
                  <c:pt idx="966">
                    <c:v>1جدی</c:v>
                  </c:pt>
                  <c:pt idx="967">
                    <c:v>1جدی</c:v>
                  </c:pt>
                  <c:pt idx="969">
                    <c:v>1جدی</c:v>
                  </c:pt>
                  <c:pt idx="970">
                    <c:v>1جدی</c:v>
                  </c:pt>
                  <c:pt idx="971">
                    <c:v>1جدی</c:v>
                  </c:pt>
                  <c:pt idx="972">
                    <c:v>1جدی</c:v>
                  </c:pt>
                  <c:pt idx="973">
                    <c:v>1جدی</c:v>
                  </c:pt>
                  <c:pt idx="974">
                    <c:v>1جدی</c:v>
                  </c:pt>
                  <c:pt idx="975">
                    <c:v>1جدی</c:v>
                  </c:pt>
                  <c:pt idx="977">
                    <c:v>1جدی</c:v>
                  </c:pt>
                  <c:pt idx="978">
                    <c:v>1جدی</c:v>
                  </c:pt>
                  <c:pt idx="979">
                    <c:v>1جدی</c:v>
                  </c:pt>
                  <c:pt idx="980">
                    <c:v>1جدی</c:v>
                  </c:pt>
                  <c:pt idx="981">
                    <c:v>1جدی</c:v>
                  </c:pt>
                  <c:pt idx="982">
                    <c:v>1جدی</c:v>
                  </c:pt>
                  <c:pt idx="983">
                    <c:v>1جدی</c:v>
                  </c:pt>
                  <c:pt idx="984">
                    <c:v>1جدی</c:v>
                  </c:pt>
                  <c:pt idx="985">
                    <c:v>1جدی</c:v>
                  </c:pt>
                  <c:pt idx="987">
                    <c:v>1جدی</c:v>
                  </c:pt>
                  <c:pt idx="988">
                    <c:v>1جدی</c:v>
                  </c:pt>
                  <c:pt idx="989">
                    <c:v>1جدی</c:v>
                  </c:pt>
                  <c:pt idx="990">
                    <c:v>1جدی</c:v>
                  </c:pt>
                  <c:pt idx="991">
                    <c:v>1جدی</c:v>
                  </c:pt>
                  <c:pt idx="992">
                    <c:v>1جدی</c:v>
                  </c:pt>
                  <c:pt idx="993">
                    <c:v>1جدی</c:v>
                  </c:pt>
                  <c:pt idx="995">
                    <c:v>1جدی</c:v>
                  </c:pt>
                  <c:pt idx="996">
                    <c:v>1جدی</c:v>
                  </c:pt>
                  <c:pt idx="997">
                    <c:v>1جدی</c:v>
                  </c:pt>
                  <c:pt idx="998">
                    <c:v>1جدی</c:v>
                  </c:pt>
                  <c:pt idx="999">
                    <c:v>1جدی</c:v>
                  </c:pt>
                  <c:pt idx="1000">
                    <c:v>1جدی</c:v>
                  </c:pt>
                  <c:pt idx="1002">
                    <c:v>1جدی</c:v>
                  </c:pt>
                  <c:pt idx="1003">
                    <c:v>1جدی</c:v>
                  </c:pt>
                  <c:pt idx="1004">
                    <c:v>1جدی</c:v>
                  </c:pt>
                  <c:pt idx="1005">
                    <c:v>1جدی</c:v>
                  </c:pt>
                  <c:pt idx="1006">
                    <c:v>1جدی</c:v>
                  </c:pt>
                  <c:pt idx="1007">
                    <c:v>1جدی</c:v>
                  </c:pt>
                  <c:pt idx="1008">
                    <c:v>1جدی</c:v>
                  </c:pt>
                  <c:pt idx="1009">
                    <c:v>1جدی</c:v>
                  </c:pt>
                  <c:pt idx="1010">
                    <c:v>1جدی</c:v>
                  </c:pt>
                  <c:pt idx="1011">
                    <c:v>1جدی</c:v>
                  </c:pt>
                  <c:pt idx="1012">
                    <c:v>1جدی</c:v>
                  </c:pt>
                  <c:pt idx="1013">
                    <c:v>1جدی</c:v>
                  </c:pt>
                  <c:pt idx="1014">
                    <c:v>1جدی</c:v>
                  </c:pt>
                  <c:pt idx="1015">
                    <c:v>1جدی</c:v>
                  </c:pt>
                  <c:pt idx="1016">
                    <c:v>1جدی</c:v>
                  </c:pt>
                  <c:pt idx="1018">
                    <c:v>1جدی</c:v>
                  </c:pt>
                  <c:pt idx="1019">
                    <c:v>1جدی</c:v>
                  </c:pt>
                  <c:pt idx="1020">
                    <c:v>1جدی</c:v>
                  </c:pt>
                  <c:pt idx="1021">
                    <c:v>1جدی</c:v>
                  </c:pt>
                  <c:pt idx="1022">
                    <c:v>1جدی</c:v>
                  </c:pt>
                  <c:pt idx="1023">
                    <c:v>1جدی</c:v>
                  </c:pt>
                  <c:pt idx="1024">
                    <c:v>1جدی</c:v>
                  </c:pt>
                  <c:pt idx="1026">
                    <c:v>1جدی</c:v>
                  </c:pt>
                  <c:pt idx="1027">
                    <c:v>1جدی</c:v>
                  </c:pt>
                  <c:pt idx="1028">
                    <c:v>1جدی</c:v>
                  </c:pt>
                  <c:pt idx="1029">
                    <c:v>1جدی</c:v>
                  </c:pt>
                  <c:pt idx="1030">
                    <c:v>1جدی</c:v>
                  </c:pt>
                  <c:pt idx="1031">
                    <c:v>1جدی</c:v>
                  </c:pt>
                  <c:pt idx="1032">
                    <c:v>1جدی</c:v>
                  </c:pt>
                  <c:pt idx="1033">
                    <c:v>1جدی</c:v>
                  </c:pt>
                  <c:pt idx="1035">
                    <c:v>1جدی</c:v>
                  </c:pt>
                  <c:pt idx="1036">
                    <c:v>1جدی</c:v>
                  </c:pt>
                  <c:pt idx="1037">
                    <c:v>1جدی</c:v>
                  </c:pt>
                  <c:pt idx="1038">
                    <c:v>1جدی</c:v>
                  </c:pt>
                  <c:pt idx="1039">
                    <c:v>1جدی</c:v>
                  </c:pt>
                  <c:pt idx="1040">
                    <c:v>1جدی</c:v>
                  </c:pt>
                  <c:pt idx="1041">
                    <c:v>1جدی</c:v>
                  </c:pt>
                  <c:pt idx="1043">
                    <c:v>1جدی</c:v>
                  </c:pt>
                  <c:pt idx="1044">
                    <c:v>1جدی</c:v>
                  </c:pt>
                  <c:pt idx="1045">
                    <c:v>1جدی</c:v>
                  </c:pt>
                  <c:pt idx="1046">
                    <c:v>1جدی</c:v>
                  </c:pt>
                  <c:pt idx="1047">
                    <c:v>1جدی</c:v>
                  </c:pt>
                  <c:pt idx="1048">
                    <c:v>1جدی</c:v>
                  </c:pt>
                  <c:pt idx="1049">
                    <c:v>1جدی</c:v>
                  </c:pt>
                  <c:pt idx="1050">
                    <c:v>1جدی</c:v>
                  </c:pt>
                  <c:pt idx="1052">
                    <c:v>1جدی</c:v>
                  </c:pt>
                  <c:pt idx="1053">
                    <c:v>1جدی</c:v>
                  </c:pt>
                  <c:pt idx="1054">
                    <c:v>1جدی</c:v>
                  </c:pt>
                  <c:pt idx="1055">
                    <c:v>1جدی</c:v>
                  </c:pt>
                  <c:pt idx="1056">
                    <c:v>1جدی</c:v>
                  </c:pt>
                  <c:pt idx="1057">
                    <c:v>1جدی</c:v>
                  </c:pt>
                  <c:pt idx="1058">
                    <c:v>1جدی</c:v>
                  </c:pt>
                  <c:pt idx="1060">
                    <c:v>1جدی</c:v>
                  </c:pt>
                  <c:pt idx="1061">
                    <c:v>1جدی</c:v>
                  </c:pt>
                  <c:pt idx="1062">
                    <c:v>1جدی</c:v>
                  </c:pt>
                  <c:pt idx="1063">
                    <c:v>1جدی</c:v>
                  </c:pt>
                  <c:pt idx="1064">
                    <c:v>1جدی</c:v>
                  </c:pt>
                  <c:pt idx="1065">
                    <c:v>1جدی</c:v>
                  </c:pt>
                  <c:pt idx="1066">
                    <c:v>1جدی</c:v>
                  </c:pt>
                  <c:pt idx="1068">
                    <c:v>1جدی</c:v>
                  </c:pt>
                  <c:pt idx="1069">
                    <c:v>1جدی</c:v>
                  </c:pt>
                  <c:pt idx="1070">
                    <c:v>1جدی</c:v>
                  </c:pt>
                  <c:pt idx="1071">
                    <c:v>1جدی</c:v>
                  </c:pt>
                  <c:pt idx="1072">
                    <c:v>1جدی</c:v>
                  </c:pt>
                  <c:pt idx="1073">
                    <c:v>1جدی</c:v>
                  </c:pt>
                  <c:pt idx="1074">
                    <c:v>1جدی</c:v>
                  </c:pt>
                  <c:pt idx="1076">
                    <c:v>1جدی</c:v>
                  </c:pt>
                  <c:pt idx="1077">
                    <c:v>1جدی</c:v>
                  </c:pt>
                  <c:pt idx="1078">
                    <c:v>1جدی</c:v>
                  </c:pt>
                  <c:pt idx="1079">
                    <c:v>1جدی</c:v>
                  </c:pt>
                  <c:pt idx="1080">
                    <c:v>1جدی</c:v>
                  </c:pt>
                  <c:pt idx="1081">
                    <c:v>1جدی</c:v>
                  </c:pt>
                  <c:pt idx="1082">
                    <c:v>1جدی</c:v>
                  </c:pt>
                  <c:pt idx="1084">
                    <c:v>1جدی</c:v>
                  </c:pt>
                  <c:pt idx="1085">
                    <c:v>1جدی</c:v>
                  </c:pt>
                  <c:pt idx="1086">
                    <c:v>1جدی</c:v>
                  </c:pt>
                  <c:pt idx="1087">
                    <c:v>1جدی</c:v>
                  </c:pt>
                  <c:pt idx="1088">
                    <c:v>1جدی</c:v>
                  </c:pt>
                  <c:pt idx="1089">
                    <c:v>1جدی</c:v>
                  </c:pt>
                  <c:pt idx="1090">
                    <c:v>1جدی</c:v>
                  </c:pt>
                  <c:pt idx="1092">
                    <c:v>1جدی</c:v>
                  </c:pt>
                  <c:pt idx="1093">
                    <c:v>1جدی</c:v>
                  </c:pt>
                  <c:pt idx="1094">
                    <c:v>1جدی</c:v>
                  </c:pt>
                  <c:pt idx="1095">
                    <c:v>1جدی</c:v>
                  </c:pt>
                  <c:pt idx="1096">
                    <c:v>1جدی</c:v>
                  </c:pt>
                  <c:pt idx="1097">
                    <c:v>1جدی</c:v>
                  </c:pt>
                  <c:pt idx="1099">
                    <c:v>1جدی</c:v>
                  </c:pt>
                  <c:pt idx="1100">
                    <c:v>1جدی</c:v>
                  </c:pt>
                  <c:pt idx="1101">
                    <c:v>1جدی</c:v>
                  </c:pt>
                  <c:pt idx="1102">
                    <c:v>1جدی</c:v>
                  </c:pt>
                  <c:pt idx="1103">
                    <c:v>1جدی</c:v>
                  </c:pt>
                  <c:pt idx="1104">
                    <c:v>1جدی</c:v>
                  </c:pt>
                  <c:pt idx="1105">
                    <c:v>1جدی</c:v>
                  </c:pt>
                  <c:pt idx="1107">
                    <c:v>1جدی</c:v>
                  </c:pt>
                  <c:pt idx="1108">
                    <c:v>1جدی</c:v>
                  </c:pt>
                  <c:pt idx="1109">
                    <c:v>1جدی</c:v>
                  </c:pt>
                  <c:pt idx="1110">
                    <c:v>1جدی</c:v>
                  </c:pt>
                  <c:pt idx="1111">
                    <c:v>1جدی</c:v>
                  </c:pt>
                  <c:pt idx="1112">
                    <c:v>1جدی</c:v>
                  </c:pt>
                  <c:pt idx="1113">
                    <c:v>1جدی</c:v>
                  </c:pt>
                  <c:pt idx="1115">
                    <c:v> -   </c:v>
                  </c:pt>
                  <c:pt idx="1117">
                    <c:v>تاریخ آغاز</c:v>
                  </c:pt>
                  <c:pt idx="1118">
                    <c:v>12/1395</c:v>
                  </c:pt>
                  <c:pt idx="1119">
                    <c:v>12/1395</c:v>
                  </c:pt>
                  <c:pt idx="1120">
                    <c:v>10/1395</c:v>
                  </c:pt>
                  <c:pt idx="1123">
                    <c:v>تاریخ آغاز</c:v>
                  </c:pt>
                  <c:pt idx="1124">
                    <c:v>01/1397</c:v>
                  </c:pt>
                  <c:pt idx="1125">
                    <c:v>01/1397</c:v>
                  </c:pt>
                  <c:pt idx="1127">
                    <c:v>تاریخ آغاز</c:v>
                  </c:pt>
                  <c:pt idx="1128">
                    <c:v>12/1395</c:v>
                  </c:pt>
                  <c:pt idx="1130">
                    <c:v> -   </c:v>
                  </c:pt>
                  <c:pt idx="1132">
                    <c:v>12/1395</c:v>
                  </c:pt>
                  <c:pt idx="1133">
                    <c:v>12/1395</c:v>
                  </c:pt>
                  <c:pt idx="1136">
                    <c:v>تاریخ ختم</c:v>
                  </c:pt>
                  <c:pt idx="1137">
                    <c:v>30/9/1397</c:v>
                  </c:pt>
                  <c:pt idx="1138">
                    <c:v>30/9/1397</c:v>
                  </c:pt>
                  <c:pt idx="1139">
                    <c:v>30/9/1397</c:v>
                  </c:pt>
                  <c:pt idx="1140">
                    <c:v>30/9/1397</c:v>
                  </c:pt>
                  <c:pt idx="1141">
                    <c:v>30/9/1397</c:v>
                  </c:pt>
                  <c:pt idx="1142">
                    <c:v>30/9/1397</c:v>
                  </c:pt>
                </c:lvl>
                <c:lvl>
                  <c:pt idx="2">
                    <c:v>واحد</c:v>
                  </c:pt>
                  <c:pt idx="4">
                    <c:v>پروژه عایداتی</c:v>
                  </c:pt>
                  <c:pt idx="5">
                    <c:v>کیلو گرام </c:v>
                  </c:pt>
                  <c:pt idx="6">
                    <c:v>کرایه </c:v>
                  </c:pt>
                  <c:pt idx="8">
                    <c:v>واحد</c:v>
                  </c:pt>
                  <c:pt idx="9">
                    <c:v>پروژه عایداتی</c:v>
                  </c:pt>
                  <c:pt idx="10">
                    <c:v>کیلو گرام</c:v>
                  </c:pt>
                  <c:pt idx="11">
                    <c:v>کرایه </c:v>
                  </c:pt>
                  <c:pt idx="13">
                    <c:v>واحد</c:v>
                  </c:pt>
                  <c:pt idx="14">
                    <c:v>پروژه عایداتی</c:v>
                  </c:pt>
                  <c:pt idx="15">
                    <c:v>کیلوگرام</c:v>
                  </c:pt>
                  <c:pt idx="16">
                    <c:v>متر مکعب </c:v>
                  </c:pt>
                  <c:pt idx="19">
                    <c:v>واحد</c:v>
                  </c:pt>
                  <c:pt idx="20">
                    <c:v>پروژه عایداتی</c:v>
                  </c:pt>
                  <c:pt idx="21">
                    <c:v>کیلو گرام </c:v>
                  </c:pt>
                  <c:pt idx="22">
                    <c:v>اصله</c:v>
                  </c:pt>
                  <c:pt idx="24">
                    <c:v>واحد</c:v>
                  </c:pt>
                  <c:pt idx="25">
                    <c:v>پروژه عایداتی</c:v>
                  </c:pt>
                  <c:pt idx="26">
                    <c:v>کیلو گرام </c:v>
                  </c:pt>
                  <c:pt idx="27">
                    <c:v>0</c:v>
                  </c:pt>
                  <c:pt idx="29">
                    <c:v>واحد</c:v>
                  </c:pt>
                  <c:pt idx="30">
                    <c:v>نفر </c:v>
                  </c:pt>
                  <c:pt idx="33">
                    <c:v>واحد</c:v>
                  </c:pt>
                  <c:pt idx="34">
                    <c:v>نفر</c:v>
                  </c:pt>
                  <c:pt idx="37">
                    <c:v>واحد</c:v>
                  </c:pt>
                  <c:pt idx="38">
                    <c:v>نفر</c:v>
                  </c:pt>
                  <c:pt idx="41">
                    <c:v>واحد</c:v>
                  </c:pt>
                  <c:pt idx="42">
                    <c:v>پروژه عایداتی</c:v>
                  </c:pt>
                  <c:pt idx="43">
                    <c:v>کیلو گرام </c:v>
                  </c:pt>
                  <c:pt idx="44">
                    <c:v>متر مکعب </c:v>
                  </c:pt>
                  <c:pt idx="47">
                    <c:v>واحد</c:v>
                  </c:pt>
                  <c:pt idx="48">
                    <c:v>پروژه عایداتی</c:v>
                  </c:pt>
                  <c:pt idx="49">
                    <c:v>کیلو گرام </c:v>
                  </c:pt>
                  <c:pt idx="50">
                    <c:v>کیلو گرام </c:v>
                  </c:pt>
                  <c:pt idx="51">
                    <c:v>متر مکعب </c:v>
                  </c:pt>
                  <c:pt idx="52">
                    <c:v>انجممن </c:v>
                  </c:pt>
                  <c:pt idx="54">
                    <c:v>واحد</c:v>
                  </c:pt>
                  <c:pt idx="55">
                    <c:v>پروژه عایداتی</c:v>
                  </c:pt>
                  <c:pt idx="56">
                    <c:v>کیلو گرام </c:v>
                  </c:pt>
                  <c:pt idx="59">
                    <c:v>واحد</c:v>
                  </c:pt>
                  <c:pt idx="60">
                    <c:v>پروژه عایداتی</c:v>
                  </c:pt>
                  <c:pt idx="61">
                    <c:v>کیلو گرام </c:v>
                  </c:pt>
                  <c:pt idx="64">
                    <c:v>واحد</c:v>
                  </c:pt>
                  <c:pt idx="65">
                    <c:v>نفر </c:v>
                  </c:pt>
                  <c:pt idx="70">
                    <c:v>واحد مقیاس</c:v>
                  </c:pt>
                  <c:pt idx="72">
                    <c:v>انجمن</c:v>
                  </c:pt>
                  <c:pt idx="73">
                    <c:v>نفر</c:v>
                  </c:pt>
                  <c:pt idx="74">
                    <c:v>هکتار</c:v>
                  </c:pt>
                  <c:pt idx="75">
                    <c:v>هکتار</c:v>
                  </c:pt>
                  <c:pt idx="76">
                    <c:v>کیلوگرام </c:v>
                  </c:pt>
                  <c:pt idx="77">
                    <c:v>مترمربع </c:v>
                  </c:pt>
                  <c:pt idx="78">
                    <c:v>هکتار</c:v>
                  </c:pt>
                  <c:pt idx="79">
                    <c:v>حلقه </c:v>
                  </c:pt>
                  <c:pt idx="80">
                    <c:v>چاله </c:v>
                  </c:pt>
                  <c:pt idx="81">
                    <c:v>کیلوگرام</c:v>
                  </c:pt>
                  <c:pt idx="82">
                    <c:v>عدد</c:v>
                  </c:pt>
                  <c:pt idx="83">
                    <c:v>لیتر</c:v>
                  </c:pt>
                  <c:pt idx="86">
                    <c:v>واحد</c:v>
                  </c:pt>
                  <c:pt idx="87">
                    <c:v>هکتار</c:v>
                  </c:pt>
                  <c:pt idx="88">
                    <c:v>نفر</c:v>
                  </c:pt>
                  <c:pt idx="89">
                    <c:v>نفر</c:v>
                  </c:pt>
                  <c:pt idx="90">
                    <c:v>هکتار</c:v>
                  </c:pt>
                  <c:pt idx="91">
                    <c:v>قلمه </c:v>
                  </c:pt>
                  <c:pt idx="92">
                    <c:v>قلمه </c:v>
                  </c:pt>
                  <c:pt idx="93">
                    <c:v>اصله</c:v>
                  </c:pt>
                  <c:pt idx="94">
                    <c:v>عراده </c:v>
                  </c:pt>
                  <c:pt idx="95">
                    <c:v>حلقه </c:v>
                  </c:pt>
                  <c:pt idx="96">
                    <c:v>اصله</c:v>
                  </c:pt>
                  <c:pt idx="97">
                    <c:v>لیتر</c:v>
                  </c:pt>
                  <c:pt idx="98">
                    <c:v>اصله</c:v>
                  </c:pt>
                  <c:pt idx="99">
                    <c:v>مترمربع </c:v>
                  </c:pt>
                  <c:pt idx="100">
                    <c:v>کیلوگرام </c:v>
                  </c:pt>
                  <c:pt idx="101">
                    <c:v>مترمربع </c:v>
                  </c:pt>
                  <c:pt idx="102">
                    <c:v>کیلوگرام</c:v>
                  </c:pt>
                  <c:pt idx="103">
                    <c:v>مترمربع </c:v>
                  </c:pt>
                  <c:pt idx="104">
                    <c:v>نفر</c:v>
                  </c:pt>
                  <c:pt idx="105">
                    <c:v>هکتار</c:v>
                  </c:pt>
                  <c:pt idx="106">
                    <c:v>حلقه </c:v>
                  </c:pt>
                  <c:pt idx="107">
                    <c:v>چاله </c:v>
                  </c:pt>
                  <c:pt idx="108">
                    <c:v>کیلوگرام</c:v>
                  </c:pt>
                  <c:pt idx="109">
                    <c:v>عدد</c:v>
                  </c:pt>
                  <c:pt idx="110">
                    <c:v>لیتر</c:v>
                  </c:pt>
                  <c:pt idx="111">
                    <c:v>لیتر</c:v>
                  </c:pt>
                  <c:pt idx="114">
                    <c:v>واحد</c:v>
                  </c:pt>
                  <c:pt idx="115">
                    <c:v>انجمن</c:v>
                  </c:pt>
                  <c:pt idx="116">
                    <c:v>نفر</c:v>
                  </c:pt>
                  <c:pt idx="117">
                    <c:v>هکتار</c:v>
                  </c:pt>
                  <c:pt idx="118">
                    <c:v>هکتار</c:v>
                  </c:pt>
                  <c:pt idx="119">
                    <c:v>کیلوگرام </c:v>
                  </c:pt>
                  <c:pt idx="120">
                    <c:v>مترمربع </c:v>
                  </c:pt>
                  <c:pt idx="121">
                    <c:v>هکتار</c:v>
                  </c:pt>
                  <c:pt idx="122">
                    <c:v>حلقه </c:v>
                  </c:pt>
                  <c:pt idx="123">
                    <c:v>چاله </c:v>
                  </c:pt>
                  <c:pt idx="124">
                    <c:v>کیلوگرام</c:v>
                  </c:pt>
                  <c:pt idx="125">
                    <c:v>عدد</c:v>
                  </c:pt>
                  <c:pt idx="126">
                    <c:v>لیتر</c:v>
                  </c:pt>
                  <c:pt idx="129">
                    <c:v>واحد</c:v>
                  </c:pt>
                  <c:pt idx="130">
                    <c:v>نفر</c:v>
                  </c:pt>
                  <c:pt idx="131">
                    <c:v>هکتار</c:v>
                  </c:pt>
                  <c:pt idx="132">
                    <c:v>قلمه </c:v>
                  </c:pt>
                  <c:pt idx="133">
                    <c:v>قلمه </c:v>
                  </c:pt>
                  <c:pt idx="134">
                    <c:v>اصله</c:v>
                  </c:pt>
                  <c:pt idx="135">
                    <c:v>عراده </c:v>
                  </c:pt>
                  <c:pt idx="136">
                    <c:v>حلقه </c:v>
                  </c:pt>
                  <c:pt idx="137">
                    <c:v>اصله</c:v>
                  </c:pt>
                  <c:pt idx="138">
                    <c:v>لیتر</c:v>
                  </c:pt>
                  <c:pt idx="139">
                    <c:v>اصله</c:v>
                  </c:pt>
                  <c:pt idx="140">
                    <c:v>مترمربع </c:v>
                  </c:pt>
                  <c:pt idx="141">
                    <c:v>کیلوگرام </c:v>
                  </c:pt>
                  <c:pt idx="142">
                    <c:v>مترمربع </c:v>
                  </c:pt>
                  <c:pt idx="143">
                    <c:v>کیلوگرام</c:v>
                  </c:pt>
                  <c:pt idx="144">
                    <c:v>مترمربع </c:v>
                  </c:pt>
                  <c:pt idx="145">
                    <c:v>نفر</c:v>
                  </c:pt>
                  <c:pt idx="146">
                    <c:v>هکتار</c:v>
                  </c:pt>
                  <c:pt idx="147">
                    <c:v>حلقه </c:v>
                  </c:pt>
                  <c:pt idx="148">
                    <c:v>قلمه </c:v>
                  </c:pt>
                  <c:pt idx="149">
                    <c:v>چاله </c:v>
                  </c:pt>
                  <c:pt idx="150">
                    <c:v>دسته </c:v>
                  </c:pt>
                  <c:pt idx="151">
                    <c:v>عدد</c:v>
                  </c:pt>
                  <c:pt idx="152">
                    <c:v>لیتر</c:v>
                  </c:pt>
                  <c:pt idx="153">
                    <c:v>عراده</c:v>
                  </c:pt>
                  <c:pt idx="154">
                    <c:v>لیتر</c:v>
                  </c:pt>
                  <c:pt idx="157">
                    <c:v>واحد</c:v>
                  </c:pt>
                  <c:pt idx="158">
                    <c:v>انجمن</c:v>
                  </c:pt>
                  <c:pt idx="159">
                    <c:v>نفر</c:v>
                  </c:pt>
                  <c:pt idx="160">
                    <c:v>هکتار</c:v>
                  </c:pt>
                  <c:pt idx="161">
                    <c:v>هکتار</c:v>
                  </c:pt>
                  <c:pt idx="162">
                    <c:v>کیلوگرام </c:v>
                  </c:pt>
                  <c:pt idx="163">
                    <c:v>مترمربع </c:v>
                  </c:pt>
                  <c:pt idx="164">
                    <c:v>هکتار</c:v>
                  </c:pt>
                  <c:pt idx="165">
                    <c:v>حلقه </c:v>
                  </c:pt>
                  <c:pt idx="166">
                    <c:v>حلقه </c:v>
                  </c:pt>
                  <c:pt idx="167">
                    <c:v>کیلوگرام</c:v>
                  </c:pt>
                  <c:pt idx="168">
                    <c:v>عدد</c:v>
                  </c:pt>
                  <c:pt idx="169">
                    <c:v>لیتر</c:v>
                  </c:pt>
                  <c:pt idx="172">
                    <c:v>واحد</c:v>
                  </c:pt>
                  <c:pt idx="173">
                    <c:v>هکتار</c:v>
                  </c:pt>
                  <c:pt idx="174">
                    <c:v>نفر</c:v>
                  </c:pt>
                  <c:pt idx="175">
                    <c:v>نفر</c:v>
                  </c:pt>
                  <c:pt idx="176">
                    <c:v>مترمربع </c:v>
                  </c:pt>
                  <c:pt idx="177">
                    <c:v>نفر</c:v>
                  </c:pt>
                  <c:pt idx="180">
                    <c:v>واحد</c:v>
                  </c:pt>
                  <c:pt idx="181">
                    <c:v>هکتار</c:v>
                  </c:pt>
                  <c:pt idx="182">
                    <c:v>نفر</c:v>
                  </c:pt>
                  <c:pt idx="183">
                    <c:v>نفر</c:v>
                  </c:pt>
                  <c:pt idx="184">
                    <c:v>مترمربع </c:v>
                  </c:pt>
                  <c:pt idx="187">
                    <c:v>واحد</c:v>
                  </c:pt>
                  <c:pt idx="188">
                    <c:v>نفر</c:v>
                  </c:pt>
                  <c:pt idx="189">
                    <c:v>نفر</c:v>
                  </c:pt>
                  <c:pt idx="190">
                    <c:v>انجمن</c:v>
                  </c:pt>
                  <c:pt idx="191">
                    <c:v>نفر</c:v>
                  </c:pt>
                  <c:pt idx="192">
                    <c:v>هکتار</c:v>
                  </c:pt>
                  <c:pt idx="193">
                    <c:v>قلمه </c:v>
                  </c:pt>
                  <c:pt idx="194">
                    <c:v>قلمه </c:v>
                  </c:pt>
                  <c:pt idx="195">
                    <c:v>اصله</c:v>
                  </c:pt>
                  <c:pt idx="196">
                    <c:v>عراده </c:v>
                  </c:pt>
                  <c:pt idx="197">
                    <c:v>حلقه </c:v>
                  </c:pt>
                  <c:pt idx="198">
                    <c:v>اصله</c:v>
                  </c:pt>
                  <c:pt idx="199">
                    <c:v>لیتر</c:v>
                  </c:pt>
                  <c:pt idx="200">
                    <c:v>اصله</c:v>
                  </c:pt>
                  <c:pt idx="201">
                    <c:v>مترمربع </c:v>
                  </c:pt>
                  <c:pt idx="202">
                    <c:v>کیلوگرام </c:v>
                  </c:pt>
                  <c:pt idx="203">
                    <c:v>مترمربع </c:v>
                  </c:pt>
                  <c:pt idx="204">
                    <c:v>کیلوگرام</c:v>
                  </c:pt>
                  <c:pt idx="205">
                    <c:v>مترمربع </c:v>
                  </c:pt>
                  <c:pt idx="206">
                    <c:v>نفر</c:v>
                  </c:pt>
                  <c:pt idx="207">
                    <c:v>هکتار</c:v>
                  </c:pt>
                  <c:pt idx="208">
                    <c:v>قلمه </c:v>
                  </c:pt>
                  <c:pt idx="209">
                    <c:v>لیتر</c:v>
                  </c:pt>
                  <c:pt idx="210">
                    <c:v>لیتر</c:v>
                  </c:pt>
                  <c:pt idx="211">
                    <c:v>عدد</c:v>
                  </c:pt>
                  <c:pt idx="212">
                    <c:v>عدد</c:v>
                  </c:pt>
                  <c:pt idx="213">
                    <c:v>لیتر</c:v>
                  </c:pt>
                  <c:pt idx="216">
                    <c:v>واحد</c:v>
                  </c:pt>
                  <c:pt idx="217">
                    <c:v>نفر</c:v>
                  </c:pt>
                  <c:pt idx="218">
                    <c:v>هکتار</c:v>
                  </c:pt>
                  <c:pt idx="219">
                    <c:v>هکتار</c:v>
                  </c:pt>
                  <c:pt idx="220">
                    <c:v>قلمه </c:v>
                  </c:pt>
                  <c:pt idx="221">
                    <c:v>قلمه </c:v>
                  </c:pt>
                  <c:pt idx="222">
                    <c:v>اصله</c:v>
                  </c:pt>
                  <c:pt idx="223">
                    <c:v>عراده </c:v>
                  </c:pt>
                  <c:pt idx="224">
                    <c:v>حلقه </c:v>
                  </c:pt>
                  <c:pt idx="225">
                    <c:v>اصله</c:v>
                  </c:pt>
                  <c:pt idx="226">
                    <c:v>لیتر</c:v>
                  </c:pt>
                  <c:pt idx="227">
                    <c:v>اصله</c:v>
                  </c:pt>
                  <c:pt idx="228">
                    <c:v>مترمربع </c:v>
                  </c:pt>
                  <c:pt idx="229">
                    <c:v>کیلوگرام </c:v>
                  </c:pt>
                  <c:pt idx="230">
                    <c:v>مترمربع </c:v>
                  </c:pt>
                  <c:pt idx="231">
                    <c:v>کیلوگرام</c:v>
                  </c:pt>
                  <c:pt idx="232">
                    <c:v>مترمربع </c:v>
                  </c:pt>
                  <c:pt idx="233">
                    <c:v>نفر</c:v>
                  </c:pt>
                  <c:pt idx="234">
                    <c:v>لیتر</c:v>
                  </c:pt>
                  <c:pt idx="237">
                    <c:v>واحد</c:v>
                  </c:pt>
                  <c:pt idx="238">
                    <c:v>انجمن</c:v>
                  </c:pt>
                  <c:pt idx="239">
                    <c:v>نفر</c:v>
                  </c:pt>
                  <c:pt idx="240">
                    <c:v>هکتار</c:v>
                  </c:pt>
                  <c:pt idx="241">
                    <c:v>کیلوگرام </c:v>
                  </c:pt>
                  <c:pt idx="242">
                    <c:v>مترمربع </c:v>
                  </c:pt>
                  <c:pt idx="245">
                    <c:v>واحد</c:v>
                  </c:pt>
                  <c:pt idx="246">
                    <c:v>انجمن</c:v>
                  </c:pt>
                  <c:pt idx="247">
                    <c:v>نفر</c:v>
                  </c:pt>
                  <c:pt idx="248">
                    <c:v>هکتار</c:v>
                  </c:pt>
                  <c:pt idx="249">
                    <c:v>کیلوگرام </c:v>
                  </c:pt>
                  <c:pt idx="250">
                    <c:v>مترمربع </c:v>
                  </c:pt>
                  <c:pt idx="253">
                    <c:v>واحد</c:v>
                  </c:pt>
                  <c:pt idx="254">
                    <c:v>انجمن</c:v>
                  </c:pt>
                  <c:pt idx="255">
                    <c:v>نفر</c:v>
                  </c:pt>
                  <c:pt idx="256">
                    <c:v>هکتار</c:v>
                  </c:pt>
                  <c:pt idx="257">
                    <c:v>کیلوگرام </c:v>
                  </c:pt>
                  <c:pt idx="258">
                    <c:v>مترمربع </c:v>
                  </c:pt>
                  <c:pt idx="261">
                    <c:v>واحد</c:v>
                  </c:pt>
                  <c:pt idx="262">
                    <c:v>انجمن</c:v>
                  </c:pt>
                  <c:pt idx="263">
                    <c:v>نفر</c:v>
                  </c:pt>
                  <c:pt idx="264">
                    <c:v>هکتار</c:v>
                  </c:pt>
                  <c:pt idx="265">
                    <c:v>کیلوگرام </c:v>
                  </c:pt>
                  <c:pt idx="266">
                    <c:v>مترمربع </c:v>
                  </c:pt>
                  <c:pt idx="269">
                    <c:v>واحد</c:v>
                  </c:pt>
                  <c:pt idx="270">
                    <c:v>انجمن</c:v>
                  </c:pt>
                  <c:pt idx="271">
                    <c:v>نفر</c:v>
                  </c:pt>
                  <c:pt idx="272">
                    <c:v>هکتار</c:v>
                  </c:pt>
                  <c:pt idx="273">
                    <c:v>کیلوگرام </c:v>
                  </c:pt>
                  <c:pt idx="274">
                    <c:v>مترمربع </c:v>
                  </c:pt>
                  <c:pt idx="275">
                    <c:v>هکتار</c:v>
                  </c:pt>
                  <c:pt idx="276">
                    <c:v>حلقه </c:v>
                  </c:pt>
                  <c:pt idx="277">
                    <c:v>حلقه </c:v>
                  </c:pt>
                  <c:pt idx="278">
                    <c:v>کیلوگرام</c:v>
                  </c:pt>
                  <c:pt idx="279">
                    <c:v>عدد</c:v>
                  </c:pt>
                  <c:pt idx="280">
                    <c:v>لیتر</c:v>
                  </c:pt>
                  <c:pt idx="283">
                    <c:v>واحد</c:v>
                  </c:pt>
                  <c:pt idx="284">
                    <c:v>انجمن</c:v>
                  </c:pt>
                  <c:pt idx="285">
                    <c:v>نفر</c:v>
                  </c:pt>
                  <c:pt idx="286">
                    <c:v>هکتار</c:v>
                  </c:pt>
                  <c:pt idx="287">
                    <c:v>کیلوگرام </c:v>
                  </c:pt>
                  <c:pt idx="288">
                    <c:v>مترمربع </c:v>
                  </c:pt>
                  <c:pt idx="289">
                    <c:v>هکتار</c:v>
                  </c:pt>
                  <c:pt idx="290">
                    <c:v>حلقه </c:v>
                  </c:pt>
                  <c:pt idx="291">
                    <c:v>حلقه </c:v>
                  </c:pt>
                  <c:pt idx="292">
                    <c:v>کیلوگرام</c:v>
                  </c:pt>
                  <c:pt idx="293">
                    <c:v>عدد</c:v>
                  </c:pt>
                  <c:pt idx="294">
                    <c:v>لیتر</c:v>
                  </c:pt>
                  <c:pt idx="297">
                    <c:v>نفر</c:v>
                  </c:pt>
                  <c:pt idx="298">
                    <c:v>نفر</c:v>
                  </c:pt>
                  <c:pt idx="302">
                    <c:v>واحد</c:v>
                  </c:pt>
                  <c:pt idx="303">
                    <c:v>مترمربع </c:v>
                  </c:pt>
                  <c:pt idx="304">
                    <c:v>مترمربع </c:v>
                  </c:pt>
                  <c:pt idx="305">
                    <c:v>متر</c:v>
                  </c:pt>
                  <c:pt idx="306">
                    <c:v>مترمکعب</c:v>
                  </c:pt>
                  <c:pt idx="307">
                    <c:v>اصله </c:v>
                  </c:pt>
                  <c:pt idx="308">
                    <c:v>مترمربع </c:v>
                  </c:pt>
                  <c:pt idx="309">
                    <c:v>مرتبه </c:v>
                  </c:pt>
                  <c:pt idx="311">
                    <c:v>مترمربع </c:v>
                  </c:pt>
                  <c:pt idx="312">
                    <c:v>مترمربع </c:v>
                  </c:pt>
                  <c:pt idx="313">
                    <c:v>متر</c:v>
                  </c:pt>
                  <c:pt idx="314">
                    <c:v>مترمکعب</c:v>
                  </c:pt>
                  <c:pt idx="315">
                    <c:v>اصله </c:v>
                  </c:pt>
                  <c:pt idx="316">
                    <c:v>مترمربع </c:v>
                  </c:pt>
                  <c:pt idx="317">
                    <c:v>مرتبه </c:v>
                  </c:pt>
                  <c:pt idx="319">
                    <c:v>متر مربع </c:v>
                  </c:pt>
                  <c:pt idx="320">
                    <c:v>متر مربع </c:v>
                  </c:pt>
                  <c:pt idx="321">
                    <c:v>متر مربع </c:v>
                  </c:pt>
                  <c:pt idx="322">
                    <c:v>متر</c:v>
                  </c:pt>
                  <c:pt idx="323">
                    <c:v>متر مکعب</c:v>
                  </c:pt>
                  <c:pt idx="324">
                    <c:v>اصله </c:v>
                  </c:pt>
                  <c:pt idx="325">
                    <c:v>مرتبه </c:v>
                  </c:pt>
                  <c:pt idx="327">
                    <c:v>مترمربع </c:v>
                  </c:pt>
                  <c:pt idx="328">
                    <c:v>متر </c:v>
                  </c:pt>
                  <c:pt idx="329">
                    <c:v>متر</c:v>
                  </c:pt>
                  <c:pt idx="330">
                    <c:v>مترمربع </c:v>
                  </c:pt>
                  <c:pt idx="331">
                    <c:v>مرتبه </c:v>
                  </c:pt>
                  <c:pt idx="332">
                    <c:v>مرتبه </c:v>
                  </c:pt>
                  <c:pt idx="334">
                    <c:v>مترمربع </c:v>
                  </c:pt>
                  <c:pt idx="335">
                    <c:v>مترمربع </c:v>
                  </c:pt>
                  <c:pt idx="336">
                    <c:v>مترمربع </c:v>
                  </c:pt>
                  <c:pt idx="337">
                    <c:v>متر</c:v>
                  </c:pt>
                  <c:pt idx="338">
                    <c:v>مترمکعب</c:v>
                  </c:pt>
                  <c:pt idx="339">
                    <c:v>مرتبه </c:v>
                  </c:pt>
                  <c:pt idx="340">
                    <c:v>شبکه </c:v>
                  </c:pt>
                  <c:pt idx="342">
                    <c:v>مترمربع </c:v>
                  </c:pt>
                  <c:pt idx="343">
                    <c:v>مترمربع </c:v>
                  </c:pt>
                  <c:pt idx="344">
                    <c:v>متر</c:v>
                  </c:pt>
                  <c:pt idx="345">
                    <c:v>مترمکعب</c:v>
                  </c:pt>
                  <c:pt idx="346">
                    <c:v>مرتبه </c:v>
                  </c:pt>
                  <c:pt idx="348">
                    <c:v>مترمربع </c:v>
                  </c:pt>
                  <c:pt idx="349">
                    <c:v>مترمربع </c:v>
                  </c:pt>
                  <c:pt idx="350">
                    <c:v>خریطه</c:v>
                  </c:pt>
                  <c:pt idx="351">
                    <c:v>مترمربع </c:v>
                  </c:pt>
                  <c:pt idx="352">
                    <c:v>متر</c:v>
                  </c:pt>
                  <c:pt idx="353">
                    <c:v>مترمکعب</c:v>
                  </c:pt>
                  <c:pt idx="354">
                    <c:v>اصله </c:v>
                  </c:pt>
                  <c:pt idx="355">
                    <c:v>مرتبه </c:v>
                  </c:pt>
                  <c:pt idx="357">
                    <c:v>مترمربع </c:v>
                  </c:pt>
                  <c:pt idx="358">
                    <c:v>مترمربع </c:v>
                  </c:pt>
                  <c:pt idx="359">
                    <c:v>متر</c:v>
                  </c:pt>
                  <c:pt idx="360">
                    <c:v>مترمکعب</c:v>
                  </c:pt>
                  <c:pt idx="361">
                    <c:v>مترمربع </c:v>
                  </c:pt>
                  <c:pt idx="362">
                    <c:v>سیتم </c:v>
                  </c:pt>
                  <c:pt idx="363">
                    <c:v>مرتبه </c:v>
                  </c:pt>
                  <c:pt idx="365">
                    <c:v>مترمربع </c:v>
                  </c:pt>
                  <c:pt idx="366">
                    <c:v>مترمربع </c:v>
                  </c:pt>
                  <c:pt idx="367">
                    <c:v>مترمربع </c:v>
                  </c:pt>
                  <c:pt idx="368">
                    <c:v>متر</c:v>
                  </c:pt>
                  <c:pt idx="369">
                    <c:v>مترمکعب</c:v>
                  </c:pt>
                  <c:pt idx="370">
                    <c:v>اصله </c:v>
                  </c:pt>
                  <c:pt idx="371">
                    <c:v>مرتبه </c:v>
                  </c:pt>
                  <c:pt idx="373">
                    <c:v>مترمربع </c:v>
                  </c:pt>
                  <c:pt idx="374">
                    <c:v>مترمربع </c:v>
                  </c:pt>
                  <c:pt idx="375">
                    <c:v>خریطه</c:v>
                  </c:pt>
                  <c:pt idx="376">
                    <c:v>مترمربع </c:v>
                  </c:pt>
                  <c:pt idx="377">
                    <c:v>متر</c:v>
                  </c:pt>
                  <c:pt idx="378">
                    <c:v>مترمکعب</c:v>
                  </c:pt>
                  <c:pt idx="379">
                    <c:v>اصله </c:v>
                  </c:pt>
                  <c:pt idx="380">
                    <c:v>مرتبه </c:v>
                  </c:pt>
                  <c:pt idx="382">
                    <c:v>مترمربع </c:v>
                  </c:pt>
                  <c:pt idx="383">
                    <c:v>مترمربع </c:v>
                  </c:pt>
                  <c:pt idx="384">
                    <c:v>مترمربع </c:v>
                  </c:pt>
                  <c:pt idx="385">
                    <c:v>متر</c:v>
                  </c:pt>
                  <c:pt idx="386">
                    <c:v>مترمکعب</c:v>
                  </c:pt>
                  <c:pt idx="387">
                    <c:v>اصله </c:v>
                  </c:pt>
                  <c:pt idx="388">
                    <c:v>مرتبه </c:v>
                  </c:pt>
                  <c:pt idx="390">
                    <c:v>مترمربع </c:v>
                  </c:pt>
                  <c:pt idx="391">
                    <c:v>مترمربع </c:v>
                  </c:pt>
                  <c:pt idx="392">
                    <c:v>مترمربع </c:v>
                  </c:pt>
                  <c:pt idx="393">
                    <c:v>متر</c:v>
                  </c:pt>
                  <c:pt idx="394">
                    <c:v>مترمکعب</c:v>
                  </c:pt>
                  <c:pt idx="395">
                    <c:v>حلقه </c:v>
                  </c:pt>
                  <c:pt idx="396">
                    <c:v>مرتبه </c:v>
                  </c:pt>
                  <c:pt idx="398">
                    <c:v>مترمربع </c:v>
                  </c:pt>
                  <c:pt idx="399">
                    <c:v>مترمربع </c:v>
                  </c:pt>
                  <c:pt idx="400">
                    <c:v>مترمربع </c:v>
                  </c:pt>
                  <c:pt idx="401">
                    <c:v>خریطه</c:v>
                  </c:pt>
                  <c:pt idx="402">
                    <c:v>متر</c:v>
                  </c:pt>
                  <c:pt idx="403">
                    <c:v>مترمکعب</c:v>
                  </c:pt>
                  <c:pt idx="404">
                    <c:v>اصله </c:v>
                  </c:pt>
                  <c:pt idx="405">
                    <c:v>حلقه </c:v>
                  </c:pt>
                  <c:pt idx="406">
                    <c:v>مرتبه </c:v>
                  </c:pt>
                  <c:pt idx="408">
                    <c:v>مترمربع </c:v>
                  </c:pt>
                  <c:pt idx="409">
                    <c:v>مترمربع </c:v>
                  </c:pt>
                  <c:pt idx="410">
                    <c:v>متر</c:v>
                  </c:pt>
                  <c:pt idx="411">
                    <c:v>مترمکعب</c:v>
                  </c:pt>
                  <c:pt idx="412">
                    <c:v>مترمربع </c:v>
                  </c:pt>
                  <c:pt idx="413">
                    <c:v>باب </c:v>
                  </c:pt>
                  <c:pt idx="414">
                    <c:v>مرتبه </c:v>
                  </c:pt>
                  <c:pt idx="416">
                    <c:v>مترمربع </c:v>
                  </c:pt>
                  <c:pt idx="417">
                    <c:v>متر</c:v>
                  </c:pt>
                  <c:pt idx="418">
                    <c:v>مترمکعب</c:v>
                  </c:pt>
                  <c:pt idx="419">
                    <c:v>مترمربع </c:v>
                  </c:pt>
                  <c:pt idx="420">
                    <c:v>حلقه </c:v>
                  </c:pt>
                  <c:pt idx="421">
                    <c:v>مرتبه </c:v>
                  </c:pt>
                  <c:pt idx="423">
                    <c:v>مترمربع </c:v>
                  </c:pt>
                  <c:pt idx="424">
                    <c:v>مترمربع </c:v>
                  </c:pt>
                  <c:pt idx="425">
                    <c:v>خریطه</c:v>
                  </c:pt>
                  <c:pt idx="426">
                    <c:v>مترمربع </c:v>
                  </c:pt>
                  <c:pt idx="427">
                    <c:v>متر</c:v>
                  </c:pt>
                  <c:pt idx="428">
                    <c:v>مترمکعب</c:v>
                  </c:pt>
                  <c:pt idx="429">
                    <c:v>اصله </c:v>
                  </c:pt>
                  <c:pt idx="430">
                    <c:v>حلقه </c:v>
                  </c:pt>
                  <c:pt idx="431">
                    <c:v>اصله </c:v>
                  </c:pt>
                  <c:pt idx="432">
                    <c:v>اصله </c:v>
                  </c:pt>
                  <c:pt idx="433">
                    <c:v>مرتبه </c:v>
                  </c:pt>
                  <c:pt idx="434">
                    <c:v>نفر</c:v>
                  </c:pt>
                  <c:pt idx="435">
                    <c:v>مرتبه </c:v>
                  </c:pt>
                  <c:pt idx="436">
                    <c:v>اصله </c:v>
                  </c:pt>
                  <c:pt idx="437">
                    <c:v>مرتبه </c:v>
                  </c:pt>
                  <c:pt idx="439">
                    <c:v>مترمربع </c:v>
                  </c:pt>
                  <c:pt idx="440">
                    <c:v>مترمربع </c:v>
                  </c:pt>
                  <c:pt idx="441">
                    <c:v>متر</c:v>
                  </c:pt>
                  <c:pt idx="442">
                    <c:v>مترمکعب</c:v>
                  </c:pt>
                  <c:pt idx="443">
                    <c:v>اصله </c:v>
                  </c:pt>
                  <c:pt idx="444">
                    <c:v>مترمربع </c:v>
                  </c:pt>
                  <c:pt idx="445">
                    <c:v>مرتبه </c:v>
                  </c:pt>
                  <c:pt idx="447">
                    <c:v>مترمربع </c:v>
                  </c:pt>
                  <c:pt idx="448">
                    <c:v>خریطه</c:v>
                  </c:pt>
                  <c:pt idx="449">
                    <c:v>مترمربع </c:v>
                  </c:pt>
                  <c:pt idx="450">
                    <c:v>متر</c:v>
                  </c:pt>
                  <c:pt idx="451">
                    <c:v>مترمکعب</c:v>
                  </c:pt>
                  <c:pt idx="452">
                    <c:v>اصله </c:v>
                  </c:pt>
                  <c:pt idx="453">
                    <c:v>مترمربع </c:v>
                  </c:pt>
                  <c:pt idx="454">
                    <c:v>مرتبه </c:v>
                  </c:pt>
                  <c:pt idx="456">
                    <c:v>مترمربع </c:v>
                  </c:pt>
                  <c:pt idx="457">
                    <c:v>مترمربع </c:v>
                  </c:pt>
                  <c:pt idx="458">
                    <c:v>مترمربع </c:v>
                  </c:pt>
                  <c:pt idx="459">
                    <c:v>متر</c:v>
                  </c:pt>
                  <c:pt idx="460">
                    <c:v>مترمکعب</c:v>
                  </c:pt>
                  <c:pt idx="461">
                    <c:v>اصله </c:v>
                  </c:pt>
                  <c:pt idx="462">
                    <c:v>مرتبه </c:v>
                  </c:pt>
                  <c:pt idx="464">
                    <c:v>مترمربع </c:v>
                  </c:pt>
                  <c:pt idx="465">
                    <c:v>مترمربع </c:v>
                  </c:pt>
                  <c:pt idx="466">
                    <c:v>خریطه</c:v>
                  </c:pt>
                  <c:pt idx="467">
                    <c:v>مترمربع </c:v>
                  </c:pt>
                  <c:pt idx="468">
                    <c:v>متر</c:v>
                  </c:pt>
                  <c:pt idx="469">
                    <c:v>مترمکعب</c:v>
                  </c:pt>
                  <c:pt idx="470">
                    <c:v>اصله </c:v>
                  </c:pt>
                  <c:pt idx="471">
                    <c:v>مرتبه </c:v>
                  </c:pt>
                  <c:pt idx="473">
                    <c:v>مترمربع </c:v>
                  </c:pt>
                  <c:pt idx="474">
                    <c:v>مترمربع </c:v>
                  </c:pt>
                  <c:pt idx="475">
                    <c:v>متر</c:v>
                  </c:pt>
                  <c:pt idx="476">
                    <c:v>مترمکعب</c:v>
                  </c:pt>
                  <c:pt idx="477">
                    <c:v>اصله </c:v>
                  </c:pt>
                  <c:pt idx="478">
                    <c:v>مترمربع </c:v>
                  </c:pt>
                  <c:pt idx="479">
                    <c:v>مرتبه </c:v>
                  </c:pt>
                  <c:pt idx="481">
                    <c:v>مترمربع </c:v>
                  </c:pt>
                  <c:pt idx="482">
                    <c:v>مترمربع </c:v>
                  </c:pt>
                  <c:pt idx="483">
                    <c:v>متر</c:v>
                  </c:pt>
                  <c:pt idx="484">
                    <c:v>مترمکعب</c:v>
                  </c:pt>
                  <c:pt idx="485">
                    <c:v>اصله </c:v>
                  </c:pt>
                  <c:pt idx="486">
                    <c:v>مترمربع </c:v>
                  </c:pt>
                  <c:pt idx="487">
                    <c:v>مرتبه </c:v>
                  </c:pt>
                  <c:pt idx="489">
                    <c:v>مترمربع </c:v>
                  </c:pt>
                  <c:pt idx="490">
                    <c:v>مترمربع </c:v>
                  </c:pt>
                  <c:pt idx="491">
                    <c:v>متر</c:v>
                  </c:pt>
                  <c:pt idx="492">
                    <c:v>مترمکعب</c:v>
                  </c:pt>
                  <c:pt idx="493">
                    <c:v>اصله </c:v>
                  </c:pt>
                  <c:pt idx="494">
                    <c:v>مترمربع </c:v>
                  </c:pt>
                  <c:pt idx="495">
                    <c:v>مرتبه </c:v>
                  </c:pt>
                  <c:pt idx="497">
                    <c:v>مترمربع </c:v>
                  </c:pt>
                  <c:pt idx="498">
                    <c:v>مترمربع </c:v>
                  </c:pt>
                  <c:pt idx="499">
                    <c:v>متر</c:v>
                  </c:pt>
                  <c:pt idx="500">
                    <c:v>مترمکعب</c:v>
                  </c:pt>
                  <c:pt idx="501">
                    <c:v>اصله </c:v>
                  </c:pt>
                  <c:pt idx="502">
                    <c:v>مترمربع </c:v>
                  </c:pt>
                  <c:pt idx="503">
                    <c:v>مرتبه </c:v>
                  </c:pt>
                  <c:pt idx="505">
                    <c:v>مترمربع </c:v>
                  </c:pt>
                  <c:pt idx="506">
                    <c:v>مترمربع </c:v>
                  </c:pt>
                  <c:pt idx="507">
                    <c:v>مترمربع </c:v>
                  </c:pt>
                  <c:pt idx="508">
                    <c:v>متر</c:v>
                  </c:pt>
                  <c:pt idx="509">
                    <c:v>مترمکعب</c:v>
                  </c:pt>
                  <c:pt idx="510">
                    <c:v>اصله </c:v>
                  </c:pt>
                  <c:pt idx="511">
                    <c:v>مرتبه </c:v>
                  </c:pt>
                  <c:pt idx="513">
                    <c:v>مترمربع </c:v>
                  </c:pt>
                  <c:pt idx="514">
                    <c:v>مترمربع </c:v>
                  </c:pt>
                  <c:pt idx="515">
                    <c:v>مترمربع </c:v>
                  </c:pt>
                  <c:pt idx="516">
                    <c:v>متر</c:v>
                  </c:pt>
                  <c:pt idx="517">
                    <c:v>مترمکعب</c:v>
                  </c:pt>
                  <c:pt idx="518">
                    <c:v>مرتبه </c:v>
                  </c:pt>
                  <c:pt idx="520">
                    <c:v>مترمربع </c:v>
                  </c:pt>
                  <c:pt idx="521">
                    <c:v>مترمربع </c:v>
                  </c:pt>
                  <c:pt idx="522">
                    <c:v>مترمربع </c:v>
                  </c:pt>
                  <c:pt idx="523">
                    <c:v>متر</c:v>
                  </c:pt>
                  <c:pt idx="524">
                    <c:v>مترمکعب</c:v>
                  </c:pt>
                  <c:pt idx="525">
                    <c:v>اصله </c:v>
                  </c:pt>
                  <c:pt idx="526">
                    <c:v>مرتبه </c:v>
                  </c:pt>
                  <c:pt idx="528">
                    <c:v>مترمربع </c:v>
                  </c:pt>
                  <c:pt idx="529">
                    <c:v>مترمربع </c:v>
                  </c:pt>
                  <c:pt idx="530">
                    <c:v>مترمربع </c:v>
                  </c:pt>
                  <c:pt idx="531">
                    <c:v>متر</c:v>
                  </c:pt>
                  <c:pt idx="532">
                    <c:v>مترمکعب</c:v>
                  </c:pt>
                  <c:pt idx="533">
                    <c:v>اصله </c:v>
                  </c:pt>
                  <c:pt idx="534">
                    <c:v>مرتبه </c:v>
                  </c:pt>
                  <c:pt idx="538">
                    <c:v>واحد</c:v>
                  </c:pt>
                  <c:pt idx="539">
                    <c:v>نفر</c:v>
                  </c:pt>
                  <c:pt idx="540">
                    <c:v>نفر</c:v>
                  </c:pt>
                  <c:pt idx="541">
                    <c:v>متر</c:v>
                  </c:pt>
                  <c:pt idx="542">
                    <c:v>شبکه</c:v>
                  </c:pt>
                  <c:pt idx="544">
                    <c:v>واحد</c:v>
                  </c:pt>
                  <c:pt idx="545">
                    <c:v>نفر</c:v>
                  </c:pt>
                  <c:pt idx="546">
                    <c:v>نفر</c:v>
                  </c:pt>
                  <c:pt idx="548">
                    <c:v>واحد</c:v>
                  </c:pt>
                  <c:pt idx="549">
                    <c:v>نفر</c:v>
                  </c:pt>
                  <c:pt idx="553">
                    <c:v>نفر </c:v>
                  </c:pt>
                  <c:pt idx="565">
                    <c:v>محل امضاء</c:v>
                  </c:pt>
                  <c:pt idx="581">
                    <c:v>ارزش مجموعی</c:v>
                  </c:pt>
                  <c:pt idx="583">
                    <c:v> 800,000 </c:v>
                  </c:pt>
                  <c:pt idx="584">
                    <c:v> 64,000 </c:v>
                  </c:pt>
                  <c:pt idx="585">
                    <c:v> 40,000 </c:v>
                  </c:pt>
                  <c:pt idx="586">
                    <c:v> 904,000 </c:v>
                  </c:pt>
                  <c:pt idx="587">
                    <c:v>قیمت</c:v>
                  </c:pt>
                  <c:pt idx="588">
                    <c:v> 1,000,000 </c:v>
                  </c:pt>
                  <c:pt idx="589">
                    <c:v> 80,000 </c:v>
                  </c:pt>
                  <c:pt idx="590">
                    <c:v> 40,000 </c:v>
                  </c:pt>
                  <c:pt idx="591">
                    <c:v> 1,120,000 </c:v>
                  </c:pt>
                  <c:pt idx="592">
                    <c:v>قیمت</c:v>
                  </c:pt>
                  <c:pt idx="593">
                    <c:v> 400,000 </c:v>
                  </c:pt>
                  <c:pt idx="594">
                    <c:v> 32,000 </c:v>
                  </c:pt>
                  <c:pt idx="595">
                    <c:v> 160,000 </c:v>
                  </c:pt>
                  <c:pt idx="596">
                    <c:v> 40,000 </c:v>
                  </c:pt>
                  <c:pt idx="597">
                    <c:v> 632,000 </c:v>
                  </c:pt>
                  <c:pt idx="598">
                    <c:v>قیمت</c:v>
                  </c:pt>
                  <c:pt idx="599">
                    <c:v> 400,000 </c:v>
                  </c:pt>
                  <c:pt idx="600">
                    <c:v> 32,000 </c:v>
                  </c:pt>
                  <c:pt idx="601">
                    <c:v> 40,000 </c:v>
                  </c:pt>
                  <c:pt idx="602">
                    <c:v> 472,000 </c:v>
                  </c:pt>
                  <c:pt idx="603">
                    <c:v>قیمت</c:v>
                  </c:pt>
                  <c:pt idx="604">
                    <c:v> 600,000 </c:v>
                  </c:pt>
                  <c:pt idx="605">
                    <c:v> 48,000 </c:v>
                  </c:pt>
                  <c:pt idx="606">
                    <c:v> 40,000 </c:v>
                  </c:pt>
                  <c:pt idx="607">
                    <c:v> 688,000 </c:v>
                  </c:pt>
                  <c:pt idx="608">
                    <c:v>قیمت</c:v>
                  </c:pt>
                  <c:pt idx="609">
                    <c:v> 288,000 </c:v>
                  </c:pt>
                  <c:pt idx="610">
                    <c:v> 10,000 </c:v>
                  </c:pt>
                  <c:pt idx="611">
                    <c:v> 298,000 </c:v>
                  </c:pt>
                  <c:pt idx="612">
                    <c:v>قیمت</c:v>
                  </c:pt>
                  <c:pt idx="613">
                    <c:v> 144,000 </c:v>
                  </c:pt>
                  <c:pt idx="614">
                    <c:v> 10,000 </c:v>
                  </c:pt>
                  <c:pt idx="615">
                    <c:v> 154,000 </c:v>
                  </c:pt>
                  <c:pt idx="616">
                    <c:v>قیمت</c:v>
                  </c:pt>
                  <c:pt idx="617">
                    <c:v> 144,000 </c:v>
                  </c:pt>
                  <c:pt idx="618">
                    <c:v> 10,000 </c:v>
                  </c:pt>
                  <c:pt idx="619">
                    <c:v> 154,000 </c:v>
                  </c:pt>
                  <c:pt idx="620">
                    <c:v>قیمت</c:v>
                  </c:pt>
                  <c:pt idx="621">
                    <c:v> 1,000,000 </c:v>
                  </c:pt>
                  <c:pt idx="622">
                    <c:v> 75,000 </c:v>
                  </c:pt>
                  <c:pt idx="623">
                    <c:v> 160,000 </c:v>
                  </c:pt>
                  <c:pt idx="624">
                    <c:v> 40,000 </c:v>
                  </c:pt>
                  <c:pt idx="625">
                    <c:v> 1,275,000 </c:v>
                  </c:pt>
                  <c:pt idx="626">
                    <c:v>قیمت</c:v>
                  </c:pt>
                  <c:pt idx="627">
                    <c:v> 1,800,000 </c:v>
                  </c:pt>
                  <c:pt idx="628">
                    <c:v> 126,000 </c:v>
                  </c:pt>
                  <c:pt idx="629">
                    <c:v> 1,250,000 </c:v>
                  </c:pt>
                  <c:pt idx="630">
                    <c:v> 720,000 </c:v>
                  </c:pt>
                  <c:pt idx="631">
                    <c:v> 1,000,000 </c:v>
                  </c:pt>
                  <c:pt idx="632">
                    <c:v> 4,896,000 </c:v>
                  </c:pt>
                  <c:pt idx="633">
                    <c:v>قیمت</c:v>
                  </c:pt>
                  <c:pt idx="634">
                    <c:v> 400,000 </c:v>
                  </c:pt>
                  <c:pt idx="635">
                    <c:v> 32,000 </c:v>
                  </c:pt>
                  <c:pt idx="636">
                    <c:v> 40,000 </c:v>
                  </c:pt>
                  <c:pt idx="637">
                    <c:v> 472,000 </c:v>
                  </c:pt>
                  <c:pt idx="638">
                    <c:v>قیمت</c:v>
                  </c:pt>
                  <c:pt idx="639">
                    <c:v> 600,000 </c:v>
                  </c:pt>
                  <c:pt idx="640">
                    <c:v> 48,000 </c:v>
                  </c:pt>
                  <c:pt idx="641">
                    <c:v> 40,000 </c:v>
                  </c:pt>
                  <c:pt idx="642">
                    <c:v> 688,000 </c:v>
                  </c:pt>
                  <c:pt idx="643">
                    <c:v>قیمت</c:v>
                  </c:pt>
                  <c:pt idx="644">
                    <c:v> 1,200,000 </c:v>
                  </c:pt>
                  <c:pt idx="645">
                    <c:v> 817,000 </c:v>
                  </c:pt>
                  <c:pt idx="646">
                    <c:v> 2,017,000 </c:v>
                  </c:pt>
                  <c:pt idx="647">
                    <c:v> 13,770,000 </c:v>
                  </c:pt>
                  <c:pt idx="649">
                    <c:v>بودجه </c:v>
                  </c:pt>
                  <c:pt idx="651">
                    <c:v> 10,000 </c:v>
                  </c:pt>
                  <c:pt idx="652">
                    <c:v> 60,000 </c:v>
                  </c:pt>
                  <c:pt idx="655">
                    <c:v> 150,000 </c:v>
                  </c:pt>
                  <c:pt idx="656">
                    <c:v> 60,000 </c:v>
                  </c:pt>
                  <c:pt idx="658">
                    <c:v> 160,000 </c:v>
                  </c:pt>
                  <c:pt idx="659">
                    <c:v> 80,000 </c:v>
                  </c:pt>
                  <c:pt idx="660">
                    <c:v> 60,000 </c:v>
                  </c:pt>
                  <c:pt idx="661">
                    <c:v> 3,600 </c:v>
                  </c:pt>
                  <c:pt idx="662">
                    <c:v> 10,000 </c:v>
                  </c:pt>
                  <c:pt idx="663">
                    <c:v> 18,569 </c:v>
                  </c:pt>
                  <c:pt idx="664">
                    <c:v> 612,169 </c:v>
                  </c:pt>
                  <c:pt idx="665">
                    <c:v>قیمت</c:v>
                  </c:pt>
                  <c:pt idx="667">
                    <c:v> 108,000 </c:v>
                  </c:pt>
                  <c:pt idx="668">
                    <c:v> 96,000 </c:v>
                  </c:pt>
                  <c:pt idx="670">
                    <c:v> 60,800 </c:v>
                  </c:pt>
                  <c:pt idx="671">
                    <c:v> 101,333 </c:v>
                  </c:pt>
                  <c:pt idx="672">
                    <c:v> 264,000 </c:v>
                  </c:pt>
                  <c:pt idx="673">
                    <c:v> 100,000 </c:v>
                  </c:pt>
                  <c:pt idx="674">
                    <c:v> 330,000 </c:v>
                  </c:pt>
                  <c:pt idx="675">
                    <c:v> 330,000 </c:v>
                  </c:pt>
                  <c:pt idx="676">
                    <c:v> 264,000 </c:v>
                  </c:pt>
                  <c:pt idx="677">
                    <c:v> 528,000 </c:v>
                  </c:pt>
                  <c:pt idx="678">
                    <c:v> 160,000 </c:v>
                  </c:pt>
                  <c:pt idx="679">
                    <c:v> 7,500 </c:v>
                  </c:pt>
                  <c:pt idx="680">
                    <c:v> 2,000 </c:v>
                  </c:pt>
                  <c:pt idx="681">
                    <c:v> 16,000 </c:v>
                  </c:pt>
                  <c:pt idx="682">
                    <c:v> 80,000 </c:v>
                  </c:pt>
                  <c:pt idx="683">
                    <c:v> 72,000 </c:v>
                  </c:pt>
                  <c:pt idx="685">
                    <c:v> 160,000 </c:v>
                  </c:pt>
                  <c:pt idx="686">
                    <c:v> 80,000 </c:v>
                  </c:pt>
                  <c:pt idx="687">
                    <c:v> 60,000 </c:v>
                  </c:pt>
                  <c:pt idx="688">
                    <c:v> 3,600 </c:v>
                  </c:pt>
                  <c:pt idx="689">
                    <c:v> 10,000 </c:v>
                  </c:pt>
                  <c:pt idx="690">
                    <c:v> 10,000 </c:v>
                  </c:pt>
                  <c:pt idx="691">
                    <c:v> 18,569 </c:v>
                  </c:pt>
                  <c:pt idx="692">
                    <c:v> 2,861,802 </c:v>
                  </c:pt>
                  <c:pt idx="693">
                    <c:v>قیمت</c:v>
                  </c:pt>
                  <c:pt idx="694">
                    <c:v> 10,000 </c:v>
                  </c:pt>
                  <c:pt idx="695">
                    <c:v> 60,000 </c:v>
                  </c:pt>
                  <c:pt idx="698">
                    <c:v> 100,000 </c:v>
                  </c:pt>
                  <c:pt idx="699">
                    <c:v> 100,000 </c:v>
                  </c:pt>
                  <c:pt idx="701">
                    <c:v> 160,000 </c:v>
                  </c:pt>
                  <c:pt idx="702">
                    <c:v> 80,000 </c:v>
                  </c:pt>
                  <c:pt idx="703">
                    <c:v> 60,000 </c:v>
                  </c:pt>
                  <c:pt idx="704">
                    <c:v> 3,600 </c:v>
                  </c:pt>
                  <c:pt idx="705">
                    <c:v> 10,000 </c:v>
                  </c:pt>
                  <c:pt idx="706">
                    <c:v> 18,569 </c:v>
                  </c:pt>
                  <c:pt idx="707">
                    <c:v> 602,169 </c:v>
                  </c:pt>
                  <c:pt idx="708">
                    <c:v>قیمت</c:v>
                  </c:pt>
                  <c:pt idx="709">
                    <c:v> 96,000 </c:v>
                  </c:pt>
                  <c:pt idx="711">
                    <c:v> 48,000 </c:v>
                  </c:pt>
                  <c:pt idx="712">
                    <c:v> 80,000 </c:v>
                  </c:pt>
                  <c:pt idx="713">
                    <c:v> 200,000 </c:v>
                  </c:pt>
                  <c:pt idx="714">
                    <c:v> 100,000 </c:v>
                  </c:pt>
                  <c:pt idx="715">
                    <c:v> 250,000 </c:v>
                  </c:pt>
                  <c:pt idx="716">
                    <c:v> 250,000 </c:v>
                  </c:pt>
                  <c:pt idx="717">
                    <c:v> 200,000 </c:v>
                  </c:pt>
                  <c:pt idx="718">
                    <c:v> 400,000 </c:v>
                  </c:pt>
                  <c:pt idx="719">
                    <c:v> 160,000 </c:v>
                  </c:pt>
                  <c:pt idx="720">
                    <c:v> 7,500 </c:v>
                  </c:pt>
                  <c:pt idx="721">
                    <c:v> 2,000 </c:v>
                  </c:pt>
                  <c:pt idx="722">
                    <c:v> 16,000 </c:v>
                  </c:pt>
                  <c:pt idx="723">
                    <c:v> 80,000 </c:v>
                  </c:pt>
                  <c:pt idx="724">
                    <c:v> 72,000 </c:v>
                  </c:pt>
                  <c:pt idx="726">
                    <c:v> 160,000 </c:v>
                  </c:pt>
                  <c:pt idx="727">
                    <c:v> 80,000 </c:v>
                  </c:pt>
                  <c:pt idx="728">
                    <c:v> 80,000 </c:v>
                  </c:pt>
                  <c:pt idx="729">
                    <c:v> 15,000 </c:v>
                  </c:pt>
                  <c:pt idx="730">
                    <c:v> 3,600 </c:v>
                  </c:pt>
                  <c:pt idx="731">
                    <c:v> 20,000 </c:v>
                  </c:pt>
                  <c:pt idx="732">
                    <c:v> 8,000 </c:v>
                  </c:pt>
                  <c:pt idx="733">
                    <c:v> 10,000 </c:v>
                  </c:pt>
                  <c:pt idx="734">
                    <c:v> 18,569 </c:v>
                  </c:pt>
                  <c:pt idx="735">
                    <c:v> 2,356,669 </c:v>
                  </c:pt>
                  <c:pt idx="736">
                    <c:v>قیمت</c:v>
                  </c:pt>
                  <c:pt idx="737">
                    <c:v> 10,000 </c:v>
                  </c:pt>
                  <c:pt idx="738">
                    <c:v> 60,000 </c:v>
                  </c:pt>
                  <c:pt idx="741">
                    <c:v> 100,000 </c:v>
                  </c:pt>
                  <c:pt idx="742">
                    <c:v> 100,000 </c:v>
                  </c:pt>
                  <c:pt idx="744">
                    <c:v> 320,000 </c:v>
                  </c:pt>
                  <c:pt idx="745">
                    <c:v> 160,000 </c:v>
                  </c:pt>
                  <c:pt idx="746">
                    <c:v> 120,000 </c:v>
                  </c:pt>
                  <c:pt idx="747">
                    <c:v> 7,200 </c:v>
                  </c:pt>
                  <c:pt idx="748">
                    <c:v> 20,000 </c:v>
                  </c:pt>
                  <c:pt idx="749">
                    <c:v> 18,569 </c:v>
                  </c:pt>
                  <c:pt idx="750">
                    <c:v> 915,769 </c:v>
                  </c:pt>
                  <c:pt idx="751">
                    <c:v>قیمت</c:v>
                  </c:pt>
                  <c:pt idx="753">
                    <c:v> 108,000 </c:v>
                  </c:pt>
                  <c:pt idx="754">
                    <c:v> 96,000 </c:v>
                  </c:pt>
                  <c:pt idx="755">
                    <c:v> 160,000 </c:v>
                  </c:pt>
                  <c:pt idx="756">
                    <c:v> 72,000 </c:v>
                  </c:pt>
                  <c:pt idx="757">
                    <c:v> 18,569 </c:v>
                  </c:pt>
                  <c:pt idx="758">
                    <c:v> 454,569 </c:v>
                  </c:pt>
                  <c:pt idx="759">
                    <c:v>قیمت</c:v>
                  </c:pt>
                  <c:pt idx="761">
                    <c:v> 96,000 </c:v>
                  </c:pt>
                  <c:pt idx="762">
                    <c:v> 72,000 </c:v>
                  </c:pt>
                  <c:pt idx="763">
                    <c:v> 160,000 </c:v>
                  </c:pt>
                  <c:pt idx="764">
                    <c:v> 18,569 </c:v>
                  </c:pt>
                  <c:pt idx="765">
                    <c:v> 346,569 </c:v>
                  </c:pt>
                  <c:pt idx="766">
                    <c:v>قیمت</c:v>
                  </c:pt>
                  <c:pt idx="767">
                    <c:v> 108,000 </c:v>
                  </c:pt>
                  <c:pt idx="768">
                    <c:v> 96,000 </c:v>
                  </c:pt>
                  <c:pt idx="769">
                    <c:v> 10,000 </c:v>
                  </c:pt>
                  <c:pt idx="770">
                    <c:v> 60,000 </c:v>
                  </c:pt>
                  <c:pt idx="772">
                    <c:v> 48,000 </c:v>
                  </c:pt>
                  <c:pt idx="773">
                    <c:v> 80,000 </c:v>
                  </c:pt>
                  <c:pt idx="774">
                    <c:v> 200,000 </c:v>
                  </c:pt>
                  <c:pt idx="775">
                    <c:v> 100,000 </c:v>
                  </c:pt>
                  <c:pt idx="776">
                    <c:v> 250,000 </c:v>
                  </c:pt>
                  <c:pt idx="777">
                    <c:v> 250,000 </c:v>
                  </c:pt>
                  <c:pt idx="778">
                    <c:v> 200,000 </c:v>
                  </c:pt>
                  <c:pt idx="779">
                    <c:v> 400,000 </c:v>
                  </c:pt>
                  <c:pt idx="780">
                    <c:v> 160,000 </c:v>
                  </c:pt>
                  <c:pt idx="781">
                    <c:v> 7,500 </c:v>
                  </c:pt>
                  <c:pt idx="782">
                    <c:v> 2,000 </c:v>
                  </c:pt>
                  <c:pt idx="783">
                    <c:v> 16,000 </c:v>
                  </c:pt>
                  <c:pt idx="784">
                    <c:v> 80,000 </c:v>
                  </c:pt>
                  <c:pt idx="785">
                    <c:v> 72,000 </c:v>
                  </c:pt>
                  <c:pt idx="786">
                    <c:v> -   </c:v>
                  </c:pt>
                  <c:pt idx="787">
                    <c:v> 160,000 </c:v>
                  </c:pt>
                  <c:pt idx="788">
                    <c:v> 10,000 </c:v>
                  </c:pt>
                  <c:pt idx="789">
                    <c:v> 80,000 </c:v>
                  </c:pt>
                  <c:pt idx="790">
                    <c:v> 60,000 </c:v>
                  </c:pt>
                  <c:pt idx="791">
                    <c:v> 3,600 </c:v>
                  </c:pt>
                  <c:pt idx="792">
                    <c:v> 10,000 </c:v>
                  </c:pt>
                  <c:pt idx="793">
                    <c:v> 18,569 </c:v>
                  </c:pt>
                  <c:pt idx="794">
                    <c:v> 2,481,669 </c:v>
                  </c:pt>
                  <c:pt idx="795">
                    <c:v>قیمت</c:v>
                  </c:pt>
                  <c:pt idx="796">
                    <c:v> 96,000 </c:v>
                  </c:pt>
                  <c:pt idx="799">
                    <c:v> 48,000 </c:v>
                  </c:pt>
                  <c:pt idx="800">
                    <c:v> 80,000 </c:v>
                  </c:pt>
                  <c:pt idx="801">
                    <c:v> 200,000 </c:v>
                  </c:pt>
                  <c:pt idx="802">
                    <c:v> 100,000 </c:v>
                  </c:pt>
                  <c:pt idx="803">
                    <c:v> 250,000 </c:v>
                  </c:pt>
                  <c:pt idx="804">
                    <c:v> 250,000 </c:v>
                  </c:pt>
                  <c:pt idx="805">
                    <c:v> 200,000 </c:v>
                  </c:pt>
                  <c:pt idx="806">
                    <c:v> 400,000 </c:v>
                  </c:pt>
                  <c:pt idx="807">
                    <c:v> 160,000 </c:v>
                  </c:pt>
                  <c:pt idx="808">
                    <c:v> 7,500 </c:v>
                  </c:pt>
                  <c:pt idx="809">
                    <c:v> 2,000 </c:v>
                  </c:pt>
                  <c:pt idx="810">
                    <c:v> 16,000 </c:v>
                  </c:pt>
                  <c:pt idx="811">
                    <c:v> 80,000 </c:v>
                  </c:pt>
                  <c:pt idx="812">
                    <c:v> 72,000 </c:v>
                  </c:pt>
                  <c:pt idx="813">
                    <c:v> 10,000 </c:v>
                  </c:pt>
                  <c:pt idx="814">
                    <c:v> 18,569 </c:v>
                  </c:pt>
                  <c:pt idx="815">
                    <c:v> 1,990,069 </c:v>
                  </c:pt>
                  <c:pt idx="816">
                    <c:v>قیمت</c:v>
                  </c:pt>
                  <c:pt idx="817">
                    <c:v> 10,000 </c:v>
                  </c:pt>
                  <c:pt idx="818">
                    <c:v> 60,000 </c:v>
                  </c:pt>
                  <c:pt idx="820">
                    <c:v> 250,000 </c:v>
                  </c:pt>
                  <c:pt idx="821">
                    <c:v> 100,000 </c:v>
                  </c:pt>
                  <c:pt idx="822">
                    <c:v> 18,569 </c:v>
                  </c:pt>
                  <c:pt idx="823">
                    <c:v> 438,569 </c:v>
                  </c:pt>
                  <c:pt idx="824">
                    <c:v>قیمت</c:v>
                  </c:pt>
                  <c:pt idx="825">
                    <c:v> 10,000 </c:v>
                  </c:pt>
                  <c:pt idx="826">
                    <c:v> 60,000 </c:v>
                  </c:pt>
                  <c:pt idx="828">
                    <c:v> 250,000 </c:v>
                  </c:pt>
                  <c:pt idx="829">
                    <c:v> 100,000 </c:v>
                  </c:pt>
                  <c:pt idx="830">
                    <c:v> 18,569 </c:v>
                  </c:pt>
                  <c:pt idx="831">
                    <c:v> 438,569 </c:v>
                  </c:pt>
                  <c:pt idx="832">
                    <c:v>قیمت</c:v>
                  </c:pt>
                  <c:pt idx="833">
                    <c:v> 10,000 </c:v>
                  </c:pt>
                  <c:pt idx="834">
                    <c:v> 60,000 </c:v>
                  </c:pt>
                  <c:pt idx="836">
                    <c:v> 250,000 </c:v>
                  </c:pt>
                  <c:pt idx="837">
                    <c:v> 100,000 </c:v>
                  </c:pt>
                  <c:pt idx="838">
                    <c:v> 18,569 </c:v>
                  </c:pt>
                  <c:pt idx="839">
                    <c:v> 438,569 </c:v>
                  </c:pt>
                  <c:pt idx="840">
                    <c:v>قیمت</c:v>
                  </c:pt>
                  <c:pt idx="841">
                    <c:v> 10,000 </c:v>
                  </c:pt>
                  <c:pt idx="842">
                    <c:v> 60,000 </c:v>
                  </c:pt>
                  <c:pt idx="844">
                    <c:v> 100,000 </c:v>
                  </c:pt>
                  <c:pt idx="845">
                    <c:v> 100,000 </c:v>
                  </c:pt>
                  <c:pt idx="846">
                    <c:v> 18,569 </c:v>
                  </c:pt>
                  <c:pt idx="847">
                    <c:v> 288,569 </c:v>
                  </c:pt>
                  <c:pt idx="848">
                    <c:v>قیمت</c:v>
                  </c:pt>
                  <c:pt idx="849">
                    <c:v> 10,000 </c:v>
                  </c:pt>
                  <c:pt idx="850">
                    <c:v> 60,000 </c:v>
                  </c:pt>
                  <c:pt idx="852">
                    <c:v> 100,000 </c:v>
                  </c:pt>
                  <c:pt idx="853">
                    <c:v> 100,000 </c:v>
                  </c:pt>
                  <c:pt idx="855">
                    <c:v> 320,000 </c:v>
                  </c:pt>
                  <c:pt idx="856">
                    <c:v> 160,000 </c:v>
                  </c:pt>
                  <c:pt idx="857">
                    <c:v> 120,000 </c:v>
                  </c:pt>
                  <c:pt idx="858">
                    <c:v> 7,200 </c:v>
                  </c:pt>
                  <c:pt idx="859">
                    <c:v> 20,000 </c:v>
                  </c:pt>
                  <c:pt idx="860">
                    <c:v> 18,569 </c:v>
                  </c:pt>
                  <c:pt idx="861">
                    <c:v> 915,769 </c:v>
                  </c:pt>
                  <c:pt idx="862">
                    <c:v>قیمت</c:v>
                  </c:pt>
                  <c:pt idx="863">
                    <c:v> 10,000 </c:v>
                  </c:pt>
                  <c:pt idx="864">
                    <c:v> 60,000 </c:v>
                  </c:pt>
                  <c:pt idx="866">
                    <c:v> 250,000 </c:v>
                  </c:pt>
                  <c:pt idx="867">
                    <c:v> 100,000 </c:v>
                  </c:pt>
                  <c:pt idx="869">
                    <c:v> 160,000 </c:v>
                  </c:pt>
                  <c:pt idx="870">
                    <c:v> 80,000 </c:v>
                  </c:pt>
                  <c:pt idx="871">
                    <c:v> 60,000 </c:v>
                  </c:pt>
                  <c:pt idx="872">
                    <c:v> 7,200 </c:v>
                  </c:pt>
                  <c:pt idx="873">
                    <c:v> 10,000 </c:v>
                  </c:pt>
                  <c:pt idx="874">
                    <c:v> 18,569 </c:v>
                  </c:pt>
                  <c:pt idx="875">
                    <c:v> 755,769 </c:v>
                  </c:pt>
                  <c:pt idx="876">
                    <c:v> 914,221 </c:v>
                  </c:pt>
                  <c:pt idx="877">
                    <c:v> 997,332 </c:v>
                  </c:pt>
                  <c:pt idx="878">
                    <c:v> 1,911,553 </c:v>
                  </c:pt>
                  <c:pt idx="879">
                    <c:v> 17,808,821 </c:v>
                  </c:pt>
                  <c:pt idx="881">
                    <c:v>قیمت</c:v>
                  </c:pt>
                  <c:pt idx="882">
                    <c:v> 10,000 </c:v>
                  </c:pt>
                  <c:pt idx="883">
                    <c:v> 120,000 </c:v>
                  </c:pt>
                  <c:pt idx="884">
                    <c:v> 2,872 </c:v>
                  </c:pt>
                  <c:pt idx="885">
                    <c:v> 16,000 </c:v>
                  </c:pt>
                  <c:pt idx="886">
                    <c:v> 20,000 </c:v>
                  </c:pt>
                  <c:pt idx="887">
                    <c:v> 4,000 </c:v>
                  </c:pt>
                  <c:pt idx="888">
                    <c:v> 30,000 </c:v>
                  </c:pt>
                  <c:pt idx="889">
                    <c:v> 202,872 </c:v>
                  </c:pt>
                  <c:pt idx="890">
                    <c:v> 50,000 </c:v>
                  </c:pt>
                  <c:pt idx="891">
                    <c:v> 120,000 </c:v>
                  </c:pt>
                  <c:pt idx="892">
                    <c:v> 2,500 </c:v>
                  </c:pt>
                  <c:pt idx="893">
                    <c:v> 8,800 </c:v>
                  </c:pt>
                  <c:pt idx="894">
                    <c:v> 20,000 </c:v>
                  </c:pt>
                  <c:pt idx="895">
                    <c:v> 4,000 </c:v>
                  </c:pt>
                  <c:pt idx="896">
                    <c:v> 20,000 </c:v>
                  </c:pt>
                  <c:pt idx="897">
                    <c:v> 225,300 </c:v>
                  </c:pt>
                  <c:pt idx="898">
                    <c:v> 50,000 </c:v>
                  </c:pt>
                  <c:pt idx="899">
                    <c:v> 4,000 </c:v>
                  </c:pt>
                  <c:pt idx="900">
                    <c:v> 120,000 </c:v>
                  </c:pt>
                  <c:pt idx="901">
                    <c:v> 3,000 </c:v>
                  </c:pt>
                  <c:pt idx="902">
                    <c:v> 16,000 </c:v>
                  </c:pt>
                  <c:pt idx="903">
                    <c:v> 20,000 </c:v>
                  </c:pt>
                  <c:pt idx="904">
                    <c:v> 20,000 </c:v>
                  </c:pt>
                  <c:pt idx="905">
                    <c:v> 233,000 </c:v>
                  </c:pt>
                  <c:pt idx="906">
                    <c:v> 300,000 </c:v>
                  </c:pt>
                  <c:pt idx="907">
                    <c:v> 20,000 </c:v>
                  </c:pt>
                  <c:pt idx="908">
                    <c:v> 5,000 </c:v>
                  </c:pt>
                  <c:pt idx="909">
                    <c:v> 8,000 </c:v>
                  </c:pt>
                  <c:pt idx="910">
                    <c:v> 200,000 </c:v>
                  </c:pt>
                  <c:pt idx="911">
                    <c:v> 10,865,694 </c:v>
                  </c:pt>
                  <c:pt idx="912">
                    <c:v> 11,398,694 </c:v>
                  </c:pt>
                  <c:pt idx="913">
                    <c:v> 40,000 </c:v>
                  </c:pt>
                  <c:pt idx="914">
                    <c:v> 4,000 </c:v>
                  </c:pt>
                  <c:pt idx="915">
                    <c:v> 120,000 </c:v>
                  </c:pt>
                  <c:pt idx="916">
                    <c:v> 2,500 </c:v>
                  </c:pt>
                  <c:pt idx="917">
                    <c:v> 9,600 </c:v>
                  </c:pt>
                  <c:pt idx="918">
                    <c:v> 30,000 </c:v>
                  </c:pt>
                  <c:pt idx="919">
                    <c:v> 1,250,000 </c:v>
                  </c:pt>
                  <c:pt idx="920">
                    <c:v> 1,456,100 </c:v>
                  </c:pt>
                  <c:pt idx="921">
                    <c:v> 40,000 </c:v>
                  </c:pt>
                  <c:pt idx="922">
                    <c:v> 160,000 </c:v>
                  </c:pt>
                  <c:pt idx="923">
                    <c:v> 2,500 </c:v>
                  </c:pt>
                  <c:pt idx="924">
                    <c:v> 9,600 </c:v>
                  </c:pt>
                  <c:pt idx="925">
                    <c:v> 30,000 </c:v>
                  </c:pt>
                  <c:pt idx="926">
                    <c:v> 242,100 </c:v>
                  </c:pt>
                  <c:pt idx="927">
                    <c:v> 150,000 </c:v>
                  </c:pt>
                  <c:pt idx="928">
                    <c:v> 8,000 </c:v>
                  </c:pt>
                  <c:pt idx="929">
                    <c:v> 26,667 </c:v>
                  </c:pt>
                  <c:pt idx="930">
                    <c:v> 280,000 </c:v>
                  </c:pt>
                  <c:pt idx="931">
                    <c:v> 3,000 </c:v>
                  </c:pt>
                  <c:pt idx="932">
                    <c:v> 16,000 </c:v>
                  </c:pt>
                  <c:pt idx="933">
                    <c:v> 20,000 </c:v>
                  </c:pt>
                  <c:pt idx="934">
                    <c:v> 30,000 </c:v>
                  </c:pt>
                  <c:pt idx="935">
                    <c:v> 533,667 </c:v>
                  </c:pt>
                  <c:pt idx="936">
                    <c:v> 30,000 </c:v>
                  </c:pt>
                  <c:pt idx="937">
                    <c:v> 80,000 </c:v>
                  </c:pt>
                  <c:pt idx="938">
                    <c:v> 3,000 </c:v>
                  </c:pt>
                  <c:pt idx="939">
                    <c:v> 12,000 </c:v>
                  </c:pt>
                  <c:pt idx="940">
                    <c:v> 4,000 </c:v>
                  </c:pt>
                  <c:pt idx="941">
                    <c:v> 1,563,000 </c:v>
                  </c:pt>
                  <c:pt idx="942">
                    <c:v> 20,000 </c:v>
                  </c:pt>
                  <c:pt idx="943">
                    <c:v> 1,712,000 </c:v>
                  </c:pt>
                  <c:pt idx="944">
                    <c:v> 50,000 </c:v>
                  </c:pt>
                  <c:pt idx="945">
                    <c:v> 4,000 </c:v>
                  </c:pt>
                  <c:pt idx="946">
                    <c:v> 240,000 </c:v>
                  </c:pt>
                  <c:pt idx="947">
                    <c:v> 3,000 </c:v>
                  </c:pt>
                  <c:pt idx="948">
                    <c:v> 12,000 </c:v>
                  </c:pt>
                  <c:pt idx="949">
                    <c:v> 20,000 </c:v>
                  </c:pt>
                  <c:pt idx="950">
                    <c:v> 30,000 </c:v>
                  </c:pt>
                  <c:pt idx="951">
                    <c:v> 359,000 </c:v>
                  </c:pt>
                  <c:pt idx="952">
                    <c:v> 60,000 </c:v>
                  </c:pt>
                  <c:pt idx="953">
                    <c:v> 4,000 </c:v>
                  </c:pt>
                  <c:pt idx="954">
                    <c:v> 26,667 </c:v>
                  </c:pt>
                  <c:pt idx="955">
                    <c:v> 200,000 </c:v>
                  </c:pt>
                  <c:pt idx="956">
                    <c:v> 3,000 </c:v>
                  </c:pt>
                  <c:pt idx="957">
                    <c:v> 9,600 </c:v>
                  </c:pt>
                  <c:pt idx="958">
                    <c:v> 20,000 </c:v>
                  </c:pt>
                  <c:pt idx="959">
                    <c:v> 30,000 </c:v>
                  </c:pt>
                  <c:pt idx="960">
                    <c:v> 353,267 </c:v>
                  </c:pt>
                  <c:pt idx="961">
                    <c:v> 50,000 </c:v>
                  </c:pt>
                  <c:pt idx="962">
                    <c:v> 4,000 </c:v>
                  </c:pt>
                  <c:pt idx="963">
                    <c:v> 200,000 </c:v>
                  </c:pt>
                  <c:pt idx="964">
                    <c:v> 3,000 </c:v>
                  </c:pt>
                  <c:pt idx="965">
                    <c:v> 16,000 </c:v>
                  </c:pt>
                  <c:pt idx="966">
                    <c:v> 20,000 </c:v>
                  </c:pt>
                  <c:pt idx="967">
                    <c:v> 30,000 </c:v>
                  </c:pt>
                  <c:pt idx="968">
                    <c:v> 323,000 </c:v>
                  </c:pt>
                  <c:pt idx="969">
                    <c:v> 60,000 </c:v>
                  </c:pt>
                  <c:pt idx="970">
                    <c:v> 4,000 </c:v>
                  </c:pt>
                  <c:pt idx="971">
                    <c:v> 200,000 </c:v>
                  </c:pt>
                  <c:pt idx="972">
                    <c:v> 2,500 </c:v>
                  </c:pt>
                  <c:pt idx="973">
                    <c:v> 12,000 </c:v>
                  </c:pt>
                  <c:pt idx="974">
                    <c:v> 700,000 </c:v>
                  </c:pt>
                  <c:pt idx="975">
                    <c:v> 30,000 </c:v>
                  </c:pt>
                  <c:pt idx="976">
                    <c:v> 1,008,500 </c:v>
                  </c:pt>
                  <c:pt idx="977">
                    <c:v> 60,000 </c:v>
                  </c:pt>
                  <c:pt idx="978">
                    <c:v> 4,000 </c:v>
                  </c:pt>
                  <c:pt idx="979">
                    <c:v> 200,000 </c:v>
                  </c:pt>
                  <c:pt idx="980">
                    <c:v> 20,000 </c:v>
                  </c:pt>
                  <c:pt idx="981">
                    <c:v> 3,000 </c:v>
                  </c:pt>
                  <c:pt idx="982">
                    <c:v> 8,600 </c:v>
                  </c:pt>
                  <c:pt idx="983">
                    <c:v> 20,000 </c:v>
                  </c:pt>
                  <c:pt idx="984">
                    <c:v> 700,000 </c:v>
                  </c:pt>
                  <c:pt idx="985">
                    <c:v> 30,000 </c:v>
                  </c:pt>
                  <c:pt idx="986">
                    <c:v> 1,045,600 </c:v>
                  </c:pt>
                  <c:pt idx="987">
                    <c:v> 50,000 </c:v>
                  </c:pt>
                  <c:pt idx="988">
                    <c:v> 120,000 </c:v>
                  </c:pt>
                  <c:pt idx="989">
                    <c:v> 2,500 </c:v>
                  </c:pt>
                  <c:pt idx="990">
                    <c:v> 12,000 </c:v>
                  </c:pt>
                  <c:pt idx="991">
                    <c:v> 4,000 </c:v>
                  </c:pt>
                  <c:pt idx="992">
                    <c:v> 585,102 </c:v>
                  </c:pt>
                  <c:pt idx="993">
                    <c:v> 30,000 </c:v>
                  </c:pt>
                  <c:pt idx="994">
                    <c:v> 803,602 </c:v>
                  </c:pt>
                  <c:pt idx="995">
                    <c:v> 100,000 </c:v>
                  </c:pt>
                  <c:pt idx="996">
                    <c:v> 2,500 </c:v>
                  </c:pt>
                  <c:pt idx="997">
                    <c:v> 8,000 </c:v>
                  </c:pt>
                  <c:pt idx="998">
                    <c:v> 4,000 </c:v>
                  </c:pt>
                  <c:pt idx="999">
                    <c:v> 500,000 </c:v>
                  </c:pt>
                  <c:pt idx="1000">
                    <c:v> 20,000 </c:v>
                  </c:pt>
                  <c:pt idx="1001">
                    <c:v> 634,500 </c:v>
                  </c:pt>
                  <c:pt idx="1002">
                    <c:v> 150,000 </c:v>
                  </c:pt>
                  <c:pt idx="1003">
                    <c:v> 8,000 </c:v>
                  </c:pt>
                  <c:pt idx="1004">
                    <c:v> 53,333 </c:v>
                  </c:pt>
                  <c:pt idx="1005">
                    <c:v> 280,000 </c:v>
                  </c:pt>
                  <c:pt idx="1006">
                    <c:v> 3,000 </c:v>
                  </c:pt>
                  <c:pt idx="1007">
                    <c:v> 16,000 </c:v>
                  </c:pt>
                  <c:pt idx="1008">
                    <c:v> 30,000 </c:v>
                  </c:pt>
                  <c:pt idx="1009">
                    <c:v> 133,333 </c:v>
                  </c:pt>
                  <c:pt idx="1010">
                    <c:v> 66,667 </c:v>
                  </c:pt>
                  <c:pt idx="1011">
                    <c:v> 66,667 </c:v>
                  </c:pt>
                  <c:pt idx="1012">
                    <c:v> 14,000 </c:v>
                  </c:pt>
                  <c:pt idx="1013">
                    <c:v> 18,000 </c:v>
                  </c:pt>
                  <c:pt idx="1014">
                    <c:v> 17,500 </c:v>
                  </c:pt>
                  <c:pt idx="1015">
                    <c:v> 800,000 </c:v>
                  </c:pt>
                  <c:pt idx="1016">
                    <c:v> 101,500 </c:v>
                  </c:pt>
                  <c:pt idx="1017">
                    <c:v> 1,758,000 </c:v>
                  </c:pt>
                  <c:pt idx="1018">
                    <c:v> 40,000 </c:v>
                  </c:pt>
                  <c:pt idx="1019">
                    <c:v> 120,000 </c:v>
                  </c:pt>
                  <c:pt idx="1020">
                    <c:v> 2,500 </c:v>
                  </c:pt>
                  <c:pt idx="1021">
                    <c:v> 8,000 </c:v>
                  </c:pt>
                  <c:pt idx="1022">
                    <c:v> 20,000 </c:v>
                  </c:pt>
                  <c:pt idx="1023">
                    <c:v> 4,000 </c:v>
                  </c:pt>
                  <c:pt idx="1024">
                    <c:v> 20,000 </c:v>
                  </c:pt>
                  <c:pt idx="1025">
                    <c:v> 214,500 </c:v>
                  </c:pt>
                  <c:pt idx="1026">
                    <c:v> 40,000 </c:v>
                  </c:pt>
                  <c:pt idx="1027">
                    <c:v> 40,000 </c:v>
                  </c:pt>
                  <c:pt idx="1028">
                    <c:v> 200,000 </c:v>
                  </c:pt>
                  <c:pt idx="1029">
                    <c:v> 3,000 </c:v>
                  </c:pt>
                  <c:pt idx="1030">
                    <c:v> 12,000 </c:v>
                  </c:pt>
                  <c:pt idx="1031">
                    <c:v> 20,000 </c:v>
                  </c:pt>
                  <c:pt idx="1032">
                    <c:v> 4,000 </c:v>
                  </c:pt>
                  <c:pt idx="1033">
                    <c:v> 30,000 </c:v>
                  </c:pt>
                  <c:pt idx="1034">
                    <c:v> 349,000 </c:v>
                  </c:pt>
                  <c:pt idx="1035">
                    <c:v> 80,000 </c:v>
                  </c:pt>
                  <c:pt idx="1036">
                    <c:v> 8,000 </c:v>
                  </c:pt>
                  <c:pt idx="1037">
                    <c:v> 240,000 </c:v>
                  </c:pt>
                  <c:pt idx="1038">
                    <c:v> 3,500 </c:v>
                  </c:pt>
                  <c:pt idx="1039">
                    <c:v> 12,000 </c:v>
                  </c:pt>
                  <c:pt idx="1040">
                    <c:v> 60,000 </c:v>
                  </c:pt>
                  <c:pt idx="1041">
                    <c:v> 30,000 </c:v>
                  </c:pt>
                  <c:pt idx="1042">
                    <c:v> 433,500 </c:v>
                  </c:pt>
                  <c:pt idx="1043">
                    <c:v> 60,000 </c:v>
                  </c:pt>
                  <c:pt idx="1044">
                    <c:v> 4,000 </c:v>
                  </c:pt>
                  <c:pt idx="1045">
                    <c:v> 26,667 </c:v>
                  </c:pt>
                  <c:pt idx="1046">
                    <c:v> 240,000 </c:v>
                  </c:pt>
                  <c:pt idx="1047">
                    <c:v> 3,000 </c:v>
                  </c:pt>
                  <c:pt idx="1048">
                    <c:v> 12,000 </c:v>
                  </c:pt>
                  <c:pt idx="1049">
                    <c:v> 20,000 </c:v>
                  </c:pt>
                  <c:pt idx="1050">
                    <c:v> 30,000 </c:v>
                  </c:pt>
                  <c:pt idx="1051">
                    <c:v> 395,667 </c:v>
                  </c:pt>
                  <c:pt idx="1052">
                    <c:v> 60,000 </c:v>
                  </c:pt>
                  <c:pt idx="1053">
                    <c:v> 200,000 </c:v>
                  </c:pt>
                  <c:pt idx="1054">
                    <c:v> 3,500 </c:v>
                  </c:pt>
                  <c:pt idx="1055">
                    <c:v> 12,000 </c:v>
                  </c:pt>
                  <c:pt idx="1056">
                    <c:v> 20,000 </c:v>
                  </c:pt>
                  <c:pt idx="1057">
                    <c:v> 4,000 </c:v>
                  </c:pt>
                  <c:pt idx="1058">
                    <c:v> 30,000 </c:v>
                  </c:pt>
                  <c:pt idx="1059">
                    <c:v> 329,500 </c:v>
                  </c:pt>
                  <c:pt idx="1060">
                    <c:v> 100,000 </c:v>
                  </c:pt>
                  <c:pt idx="1061">
                    <c:v> 240,000 </c:v>
                  </c:pt>
                  <c:pt idx="1062">
                    <c:v> 3,000 </c:v>
                  </c:pt>
                  <c:pt idx="1063">
                    <c:v> 12,000 </c:v>
                  </c:pt>
                  <c:pt idx="1064">
                    <c:v> 24,000 </c:v>
                  </c:pt>
                  <c:pt idx="1065">
                    <c:v> 8,000 </c:v>
                  </c:pt>
                  <c:pt idx="1066">
                    <c:v> 30,000 </c:v>
                  </c:pt>
                  <c:pt idx="1067">
                    <c:v> 417,000 </c:v>
                  </c:pt>
                  <c:pt idx="1068">
                    <c:v> 80,000 </c:v>
                  </c:pt>
                  <c:pt idx="1069">
                    <c:v> 240,000 </c:v>
                  </c:pt>
                  <c:pt idx="1070">
                    <c:v> 3,000 </c:v>
                  </c:pt>
                  <c:pt idx="1071">
                    <c:v> 12,000 </c:v>
                  </c:pt>
                  <c:pt idx="1072">
                    <c:v> 20,000 </c:v>
                  </c:pt>
                  <c:pt idx="1073">
                    <c:v> 4,000 </c:v>
                  </c:pt>
                  <c:pt idx="1074">
                    <c:v> 30,000 </c:v>
                  </c:pt>
                  <c:pt idx="1075">
                    <c:v> 389,000 </c:v>
                  </c:pt>
                  <c:pt idx="1076">
                    <c:v> 150,000 </c:v>
                  </c:pt>
                  <c:pt idx="1077">
                    <c:v> 200,000 </c:v>
                  </c:pt>
                  <c:pt idx="1078">
                    <c:v> 3,000 </c:v>
                  </c:pt>
                  <c:pt idx="1079">
                    <c:v> 12,000 </c:v>
                  </c:pt>
                  <c:pt idx="1080">
                    <c:v> 20,000 </c:v>
                  </c:pt>
                  <c:pt idx="1081">
                    <c:v> 8,000 </c:v>
                  </c:pt>
                  <c:pt idx="1082">
                    <c:v> 30,000 </c:v>
                  </c:pt>
                  <c:pt idx="1083">
                    <c:v> 423,000 </c:v>
                  </c:pt>
                  <c:pt idx="1084">
                    <c:v> 140,000 </c:v>
                  </c:pt>
                  <c:pt idx="1085">
                    <c:v> 8,000 </c:v>
                  </c:pt>
                  <c:pt idx="1086">
                    <c:v> 240,000 </c:v>
                  </c:pt>
                  <c:pt idx="1087">
                    <c:v> 3,000 </c:v>
                  </c:pt>
                  <c:pt idx="1088">
                    <c:v> 12,000 </c:v>
                  </c:pt>
                  <c:pt idx="1089">
                    <c:v> 40,000 </c:v>
                  </c:pt>
                  <c:pt idx="1090">
                    <c:v> 30,000 </c:v>
                  </c:pt>
                  <c:pt idx="1091">
                    <c:v> 473,000 </c:v>
                  </c:pt>
                  <c:pt idx="1092">
                    <c:v> 40,000 </c:v>
                  </c:pt>
                  <c:pt idx="1093">
                    <c:v> 80,000 </c:v>
                  </c:pt>
                  <c:pt idx="1094">
                    <c:v> 4,000 </c:v>
                  </c:pt>
                  <c:pt idx="1095">
                    <c:v> 3,000 </c:v>
                  </c:pt>
                  <c:pt idx="1096">
                    <c:v> 8,000 </c:v>
                  </c:pt>
                  <c:pt idx="1097">
                    <c:v> 30,000 </c:v>
                  </c:pt>
                  <c:pt idx="1098">
                    <c:v> 165,000 </c:v>
                  </c:pt>
                  <c:pt idx="1099">
                    <c:v> 80,000 </c:v>
                  </c:pt>
                  <c:pt idx="1100">
                    <c:v> 4,000 </c:v>
                  </c:pt>
                  <c:pt idx="1101">
                    <c:v> 240,000 </c:v>
                  </c:pt>
                  <c:pt idx="1102">
                    <c:v> 3,000 </c:v>
                  </c:pt>
                  <c:pt idx="1103">
                    <c:v> 9,600 </c:v>
                  </c:pt>
                  <c:pt idx="1104">
                    <c:v> 20,000 </c:v>
                  </c:pt>
                  <c:pt idx="1105">
                    <c:v> 30,000 </c:v>
                  </c:pt>
                  <c:pt idx="1106">
                    <c:v> 386,600 </c:v>
                  </c:pt>
                  <c:pt idx="1107">
                    <c:v> 70,000 </c:v>
                  </c:pt>
                  <c:pt idx="1108">
                    <c:v> 4,000 </c:v>
                  </c:pt>
                  <c:pt idx="1109">
                    <c:v> 200,000 </c:v>
                  </c:pt>
                  <c:pt idx="1110">
                    <c:v> 3,400 </c:v>
                  </c:pt>
                  <c:pt idx="1111">
                    <c:v> 9,600 </c:v>
                  </c:pt>
                  <c:pt idx="1112">
                    <c:v> 20,000 </c:v>
                  </c:pt>
                  <c:pt idx="1113">
                    <c:v> 30,000 </c:v>
                  </c:pt>
                  <c:pt idx="1114">
                    <c:v> 337,000 </c:v>
                  </c:pt>
                  <c:pt idx="1115">
                    <c:v> 26,601,968 </c:v>
                  </c:pt>
                  <c:pt idx="1117">
                    <c:v>ارزش مجموعی</c:v>
                  </c:pt>
                  <c:pt idx="1118">
                    <c:v> 288,000 </c:v>
                  </c:pt>
                  <c:pt idx="1119">
                    <c:v> 720,000 </c:v>
                  </c:pt>
                  <c:pt idx="1120">
                    <c:v> 2,500,000 </c:v>
                  </c:pt>
                  <c:pt idx="1121">
                    <c:v> 2,147,680 </c:v>
                  </c:pt>
                  <c:pt idx="1122">
                    <c:v> 5,655,680 </c:v>
                  </c:pt>
                  <c:pt idx="1123">
                    <c:v>ارزش مجموعی</c:v>
                  </c:pt>
                  <c:pt idx="1124">
                    <c:v> 108,000 </c:v>
                  </c:pt>
                  <c:pt idx="1125">
                    <c:v> 1,080,000 </c:v>
                  </c:pt>
                  <c:pt idx="1126">
                    <c:v> 1,188,000 </c:v>
                  </c:pt>
                  <c:pt idx="1127">
                    <c:v>قیمت</c:v>
                  </c:pt>
                  <c:pt idx="1128">
                    <c:v> 984,420 </c:v>
                  </c:pt>
                  <c:pt idx="1129">
                    <c:v> 984,420 </c:v>
                  </c:pt>
                  <c:pt idx="1130">
                    <c:v> 7,828,100 </c:v>
                  </c:pt>
                  <c:pt idx="1132">
                    <c:v> 1,248,000 </c:v>
                  </c:pt>
                  <c:pt idx="1133">
                    <c:v> 1,083,110 </c:v>
                  </c:pt>
                  <c:pt idx="1134">
                    <c:v> 2,331,110 </c:v>
                  </c:pt>
                  <c:pt idx="1136">
                    <c:v>تاریخ آغاز</c:v>
                  </c:pt>
                  <c:pt idx="1137">
                    <c:v>1/10/1396</c:v>
                  </c:pt>
                  <c:pt idx="1138">
                    <c:v>1/10/1396</c:v>
                  </c:pt>
                  <c:pt idx="1139">
                    <c:v>1/10/1396</c:v>
                  </c:pt>
                  <c:pt idx="1140">
                    <c:v>1/10/1396</c:v>
                  </c:pt>
                  <c:pt idx="1141">
                    <c:v>1/10/1396</c:v>
                  </c:pt>
                  <c:pt idx="1142">
                    <c:v>1/10/1397</c:v>
                  </c:pt>
                </c:lvl>
                <c:lvl>
                  <c:pt idx="2">
                    <c:v>محصول</c:v>
                  </c:pt>
                  <c:pt idx="4">
                    <c:v>احیای 40 هکتار جنگلات پسته با بذر للمی و قروغ نمودن به کمک 8 پروژه عایداتی </c:v>
                  </c:pt>
                  <c:pt idx="5">
                    <c:v>خریداری تخم پسته برای بذر للمی </c:v>
                  </c:pt>
                  <c:pt idx="6">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8">
                    <c:v>محصول</c:v>
                  </c:pt>
                  <c:pt idx="9">
                    <c:v>احیای 50 هکتار جنگلات پسته با بذر للمی و قروغ نمودن به کمک 26 پروژه عایداتی.</c:v>
                  </c:pt>
                  <c:pt idx="10">
                    <c:v>خریداری تخم پسته برای بذر للمی </c:v>
                  </c:pt>
                  <c:pt idx="11">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13">
                    <c:v>محصول</c:v>
                  </c:pt>
                  <c:pt idx="14">
                    <c:v>احیای 20 هکتار جنگلات پسته با بذر للمی و قروغ نمودن به کمک 4 پروژه عایداتی.</c:v>
                  </c:pt>
                  <c:pt idx="15">
                    <c:v>خریداری تخم پسته برای بذر للمی </c:v>
                  </c:pt>
                  <c:pt idx="16">
                    <c:v>تنظیم ابریزه با اعمار 200متر مکعب چکدم و ابگردان از سنگ و مواد محلی در یکی ساحاتیکه تحت خطر سیلاب شدید قرار دارد یا ساحه که احیا میگردد. </c:v>
                  </c:pt>
                  <c:pt idx="1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19">
                    <c:v>محصول</c:v>
                  </c:pt>
                  <c:pt idx="20">
                    <c:v>احیای 20 هکتار جنگلات پسته با بذر للمی و قروغ نمودن به کمک 4 پروژه عایداتی.</c:v>
                  </c:pt>
                  <c:pt idx="21">
                    <c:v>تهیه و خریداری تخم پسته برای بذر </c:v>
                  </c:pt>
                  <c:pt idx="2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24">
                    <c:v>محصول</c:v>
                  </c:pt>
                  <c:pt idx="25">
                    <c:v>احیای 30 هکتار جنگلات پسته با بذر للمی و قروغ نمودن به کمک6 پروژه عایداتی.</c:v>
                  </c:pt>
                  <c:pt idx="26">
                    <c:v>تهیه و خریداری تخم پسته برای بذر </c:v>
                  </c:pt>
                  <c:pt idx="2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29">
                    <c:v>محصول</c:v>
                  </c:pt>
                  <c:pt idx="30">
                    <c:v>استخدام 2 نفر محافظ غرض حفاظت 10000 خریطه پلاستیکی از سال 1395</c:v>
                  </c:pt>
                  <c:pt idx="31">
                    <c:v>جالی با ملحفات آن برای تهیه سایه بان برای نوجست های جلغوزه </c:v>
                  </c:pt>
                  <c:pt idx="33">
                    <c:v>محصول</c:v>
                  </c:pt>
                  <c:pt idx="34">
                    <c:v>استخدام 1 نفر محافظ غرض حفاظت 10000 خریطه پلاستیکی از سال 1395</c:v>
                  </c:pt>
                  <c:pt idx="35">
                    <c:v>جالی با ملحفات آن برای تهیه سایه بان برای نوجست های جلغوزه </c:v>
                  </c:pt>
                  <c:pt idx="37">
                    <c:v>محصول</c:v>
                  </c:pt>
                  <c:pt idx="38">
                    <c:v>استخدام 1 نفر محافظ غرض حفاظت 10000 خریطه پلاستیکی از سال 1395</c:v>
                  </c:pt>
                  <c:pt idx="39">
                    <c:v>جالی با ملحفات آن برای تهیه سایه بان برای نوجست های جلغوزه </c:v>
                  </c:pt>
                  <c:pt idx="41">
                    <c:v>محصول</c:v>
                  </c:pt>
                  <c:pt idx="42">
                    <c:v>احیای و حفاظت 50 هکتار جلغوزه با بذر للمی به کمک 10 پروژه عایداتی.</c:v>
                  </c:pt>
                  <c:pt idx="43">
                    <c:v>خریداری تخم جلغوزه برای بذر مستقیم </c:v>
                  </c:pt>
                  <c:pt idx="44">
                    <c:v>تنظیم ابریزه ها با اعمار 200چکدم با مواد محلی در جای که خطر سیلاب متصور است.</c:v>
                  </c:pt>
                  <c:pt idx="45">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47">
                    <c:v>محصول</c:v>
                  </c:pt>
                  <c:pt idx="48">
                    <c:v>بذر للم و حفاظت ساحه 90 هکتار جنگلات طبیعی تخریب شده لمنز، نشتر، به کمک پروژه های عایداتی ( هر پروژه عایداتی برای 5 هکتار ساحه تخریب شده جدید و یک نفر محافظ) </c:v>
                  </c:pt>
                  <c:pt idx="49">
                    <c:v>خریداری تخم نشتر، لمنز، بلوط و اغور اسکی برای بذر للمی.</c:v>
                  </c:pt>
                  <c:pt idx="50">
                    <c:v>خریداری تخم چارمغز با کیفیت که قابلیت جوانه زدن را داشته باشد.</c:v>
                  </c:pt>
                  <c:pt idx="51">
                    <c:v>اعمار چکدم غرض حفاظت آب و خاک </c:v>
                  </c:pt>
                  <c:pt idx="5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54">
                    <c:v>محصول</c:v>
                  </c:pt>
                  <c:pt idx="55">
                    <c:v>احیای 20 هکتار بذر للمی بادام کوهی به کمک 4 پروژه عایداتی ( هر پروژه عایداتی برای یک نفر کارگر محافظ و 5 هکتار) </c:v>
                  </c:pt>
                  <c:pt idx="56">
                    <c:v>تهیه و خریداری تخم  بادام کوهی </c:v>
                  </c:pt>
                  <c:pt idx="5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59">
                    <c:v>محصول</c:v>
                  </c:pt>
                  <c:pt idx="60">
                    <c:v>احیای 30 هکتار بذر للمی بادام کوهی به کمک 6 پروژه عایداتی ( هر پروژه عایداتی برای یک نفر کارگر محافظ و 5 هکتار) </c:v>
                  </c:pt>
                  <c:pt idx="61">
                    <c:v>تهیه و خریداری تخم پسته.</c:v>
                  </c:pt>
                  <c:pt idx="6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64">
                    <c:v>محصول</c:v>
                  </c:pt>
                  <c:pt idx="65">
                    <c:v>استخدام 2 نفر متخصص در بخش ارتقای ظرفیت انجمن ها</c:v>
                  </c:pt>
                  <c:pt idx="66">
                    <c:v>سفریه و کرایه تیم فنی غرض سفر به ولایات غرض نظارت از امور پروژه ها.</c:v>
                  </c:pt>
                  <c:pt idx="70">
                    <c:v>فعالیت ها </c:v>
                  </c:pt>
                  <c:pt idx="72">
                    <c:v>شناسایی انجمن علفچر ونباتات طبی </c:v>
                  </c:pt>
                  <c:pt idx="73">
                    <c:v>تدویرورکشاپ اموزشهای تخنیکی وپلان سازی برای اعضای انجمن </c:v>
                  </c:pt>
                  <c:pt idx="74">
                    <c:v>احیایی علفچر طبیعی توسط قروغ ، تناوب چرا ، تنظیم حیوانات مواشی درساحه حصار شده 1396توسط انجمن </c:v>
                  </c:pt>
                  <c:pt idx="75">
                    <c:v>احیاء  علفچرتوسط بذر تخم علوفه </c:v>
                  </c:pt>
                  <c:pt idx="76">
                    <c:v>تهیه تخم علوفه برای موازی 60 هکتار فی هکتار 5 کیلوگرام </c:v>
                  </c:pt>
                  <c:pt idx="77">
                    <c:v>بذرپاشی و زیرخاک نمودن تخم علفوفه درساحات تخریب شده علفچر</c:v>
                  </c:pt>
                  <c:pt idx="78">
                    <c:v>احیاء نباتات طبی هنگ </c:v>
                  </c:pt>
                  <c:pt idx="79">
                    <c:v>حفر و اصلاح چاله ،نرم کاری خاک وبذرتخم هنگ </c:v>
                  </c:pt>
                  <c:pt idx="80">
                    <c:v>ابیاری توسط اب پاش </c:v>
                  </c:pt>
                  <c:pt idx="81">
                    <c:v>خریداری تخم هنگ </c:v>
                  </c:pt>
                  <c:pt idx="82">
                    <c:v>خریداری اب پاش </c:v>
                  </c:pt>
                  <c:pt idx="83">
                    <c:v>تهیه اب </c:v>
                  </c:pt>
                  <c:pt idx="84">
                    <c:v>مصارف اموزش انجمنها و نظارت از فعالیت های تطبیق شده پروژه </c:v>
                  </c:pt>
                  <c:pt idx="86">
                    <c:v>محصول</c:v>
                  </c:pt>
                  <c:pt idx="87">
                    <c:v>احیایی علفچر طبیعی توسط قروغ ، تناوب چرا ، تنظیم حیوانات مواشی درساحه حصار شده 1396توسط انجمن </c:v>
                  </c:pt>
                  <c:pt idx="88">
                    <c:v>استخدام کارمند فنی برای 9 ماه</c:v>
                  </c:pt>
                  <c:pt idx="89">
                    <c:v>استخدام  نگران برای 12ماه</c:v>
                  </c:pt>
                  <c:pt idx="90">
                    <c:v>تثبیت ریگ های روان </c:v>
                  </c:pt>
                  <c:pt idx="91">
                    <c:v>تهیه قلمه گز، تاغ وسکساول </c:v>
                  </c:pt>
                  <c:pt idx="92">
                    <c:v>غرس قلمه گز، تاغ وسکساول</c:v>
                  </c:pt>
                  <c:pt idx="93">
                    <c:v>کشیدن نهال ازمرکزارایه خدمات تنظیم علفچر</c:v>
                  </c:pt>
                  <c:pt idx="94">
                    <c:v>تهیه یکعراد ه زرنج برای انتقال قلمه و نهال ریشه گز، تاغ وسکساول درساحه </c:v>
                  </c:pt>
                  <c:pt idx="95">
                    <c:v>حفرچقرک برای غرس نهال ریشه </c:v>
                  </c:pt>
                  <c:pt idx="96">
                    <c:v>غرس نهال ریشه گز، تاغ وسکساول </c:v>
                  </c:pt>
                  <c:pt idx="97">
                    <c:v>تهیه آب برای آبیاری نهال بک مرتبه </c:v>
                  </c:pt>
                  <c:pt idx="98">
                    <c:v>آبیاری نهال های غرس شده یک مرتبه </c:v>
                  </c:pt>
                  <c:pt idx="99">
                    <c:v>آماده ساختن موازی 20 جریب زمین برای بذر تخم علوفه وغرس قلمه گز ، تاغ وسکساول درمرکزارایه خدمات تنظیم علفجر </c:v>
                  </c:pt>
                  <c:pt idx="100">
                    <c:v>تهیه تخم علوفه اگروپایرون</c:v>
                  </c:pt>
                  <c:pt idx="101">
                    <c:v>بذرتخم علوفه در قطار ( فاصله بین قطار 50 سانتی )</c:v>
                  </c:pt>
                  <c:pt idx="102">
                    <c:v>تهیه کود وسیاه وسفید </c:v>
                  </c:pt>
                  <c:pt idx="103">
                    <c:v>کارگر برای خیشاوه نمودن یک مراتبه </c:v>
                  </c:pt>
                  <c:pt idx="104">
                    <c:v>کارگر آبیاری و درو نمودن برای مدت 8 ماه </c:v>
                  </c:pt>
                  <c:pt idx="105">
                    <c:v>احیاء نباتات طبی هنگ </c:v>
                  </c:pt>
                  <c:pt idx="106">
                    <c:v>حفر و اصلاح چاله ،نرم کاری خاک وبذرتخم هنگ </c:v>
                  </c:pt>
                  <c:pt idx="107">
                    <c:v>ابیار توسط اب پاش </c:v>
                  </c:pt>
                  <c:pt idx="108">
                    <c:v>خریداری تخم هنگ </c:v>
                  </c:pt>
                  <c:pt idx="109">
                    <c:v>خریداری اب پاش </c:v>
                  </c:pt>
                  <c:pt idx="110">
                    <c:v>تهیه اب </c:v>
                  </c:pt>
                  <c:pt idx="111">
                    <c:v>تهیه روغنیات برای زرنج و واترپمپ</c:v>
                  </c:pt>
                  <c:pt idx="112">
                    <c:v>مصارف اموزش انجمنها و نظارت از فعالیت های تطبیق شده پروژه </c:v>
                  </c:pt>
                  <c:pt idx="114">
                    <c:v>محصول</c:v>
                  </c:pt>
                  <c:pt idx="115">
                    <c:v>شناسایی انجمن علفچر ونباتات طبی </c:v>
                  </c:pt>
                  <c:pt idx="116">
                    <c:v>تدویرورکشاپ اموزشهای تخنیکی وپلان سازی برای اعضای انجمن </c:v>
                  </c:pt>
                  <c:pt idx="117">
                    <c:v>احیایی علفچر طبیعی توسط قروغ ، تناوب چرا ، تنظیم حیوانات مواشی درساحه حصار شده 1396توسط انجمن </c:v>
                  </c:pt>
                  <c:pt idx="118">
                    <c:v>احیاء علفچراز طریق بذر تخم رشقه للمی </c:v>
                  </c:pt>
                  <c:pt idx="119">
                    <c:v>تهیه تخم رشقه للمی </c:v>
                  </c:pt>
                  <c:pt idx="120">
                    <c:v>بذرتخم رشقه للمی وزیر خاک نمودن </c:v>
                  </c:pt>
                  <c:pt idx="121">
                    <c:v>احیاء نباتات طبی هنگ </c:v>
                  </c:pt>
                  <c:pt idx="122">
                    <c:v>حفرواصلاح چاله ،نرم کاری خاک وبذرتخم هنگ </c:v>
                  </c:pt>
                  <c:pt idx="123">
                    <c:v>ابیاری توسط اب پاش </c:v>
                  </c:pt>
                  <c:pt idx="124">
                    <c:v>خریداری تخم هنگ </c:v>
                  </c:pt>
                  <c:pt idx="125">
                    <c:v>خریداری اب پاش </c:v>
                  </c:pt>
                  <c:pt idx="126">
                    <c:v>تهیه اب </c:v>
                  </c:pt>
                  <c:pt idx="127">
                    <c:v>مصارف اموزش انجمنها و نظارت از فعالیت های تطبیق شده پروژه </c:v>
                  </c:pt>
                  <c:pt idx="129">
                    <c:v>محصول</c:v>
                  </c:pt>
                  <c:pt idx="130">
                    <c:v>استخدام  نگران برای 12 ماه</c:v>
                  </c:pt>
                  <c:pt idx="131">
                    <c:v>تثبیت ریگ های روان </c:v>
                  </c:pt>
                  <c:pt idx="132">
                    <c:v>تهیه قلمه گز، تاغ وسکساول </c:v>
                  </c:pt>
                  <c:pt idx="133">
                    <c:v>غرس قلمه گز، تاغ وسکساول</c:v>
                  </c:pt>
                  <c:pt idx="134">
                    <c:v>کشیدن نهال ازمرکزارایه خدمات تنظیم علفچر</c:v>
                  </c:pt>
                  <c:pt idx="135">
                    <c:v>تهیه یکعراد ه زرنج برای انتقال قلمه و نهال ریشه گز، تاغ وسکساول درساحه </c:v>
                  </c:pt>
                  <c:pt idx="136">
                    <c:v>حفرچقرک برای غرس نهال ریشه </c:v>
                  </c:pt>
                  <c:pt idx="137">
                    <c:v>غرس نهال ریشه گز، تاغ وسکساول </c:v>
                  </c:pt>
                  <c:pt idx="138">
                    <c:v>تهیه آب برای آبیاری نهال بک مرتبه </c:v>
                  </c:pt>
                  <c:pt idx="139">
                    <c:v>آبیاری نهال های غرس شده یک مرتبه </c:v>
                  </c:pt>
                  <c:pt idx="140">
                    <c:v>آماده ساختن زمین برای بذر تخم علوفه وغرس قلمه گز</c:v>
                  </c:pt>
                  <c:pt idx="141">
                    <c:v>تهیه تخم علوفه اگروپایرون</c:v>
                  </c:pt>
                  <c:pt idx="142">
                    <c:v>بذرتخم علوفه در قطار ( فاصله بین قطار 50 سانتی )</c:v>
                  </c:pt>
                  <c:pt idx="143">
                    <c:v>تهیه کود وسیاه وسفید </c:v>
                  </c:pt>
                  <c:pt idx="144">
                    <c:v>کارگر برای خیشاوه نمودن برای یک مراتبه</c:v>
                  </c:pt>
                  <c:pt idx="145">
                    <c:v>کارگر آبیاری و درو نمودن برای مدت 8 ماه </c:v>
                  </c:pt>
                  <c:pt idx="146">
                    <c:v>احیاء نباتات طبی شیرین بویه</c:v>
                  </c:pt>
                  <c:pt idx="147">
                    <c:v>حفرواصلاح چاله ،نرم کاری خاک وغرس قلمه شیرین بویه </c:v>
                  </c:pt>
                  <c:pt idx="148">
                    <c:v>تهیه قلمه ریشه شیرین بویه ، توسط کارگران محلی </c:v>
                  </c:pt>
                  <c:pt idx="149">
                    <c:v>ابیاری توسط اب پاش </c:v>
                  </c:pt>
                  <c:pt idx="150">
                    <c:v>خریداری قیجی شاخه بری فیلکو</c:v>
                  </c:pt>
                  <c:pt idx="151">
                    <c:v>خریداری اب پاش </c:v>
                  </c:pt>
                  <c:pt idx="152">
                    <c:v>تهیه اب </c:v>
                  </c:pt>
                  <c:pt idx="153">
                    <c:v>کرایه انتقال قلمه ریشه شرین بویه </c:v>
                  </c:pt>
                  <c:pt idx="154">
                    <c:v>خریداری روغنیات زرنج  </c:v>
                  </c:pt>
                  <c:pt idx="155">
                    <c:v>مصارف اموزش انجمنها و نظارت از فعالیت های تطبیق شده پروژه </c:v>
                  </c:pt>
                  <c:pt idx="157">
                    <c:v>محصول</c:v>
                  </c:pt>
                  <c:pt idx="158">
                    <c:v>شناسایی انجمن علفچر ونباتات طبی </c:v>
                  </c:pt>
                  <c:pt idx="159">
                    <c:v>تدویرورکشاپ اموزشهای تخنیکی وپلان سازی برای اعضای انجمن </c:v>
                  </c:pt>
                  <c:pt idx="160">
                    <c:v>احیایی علفچر طبیعی توسط قروغ ، تناوب چرا ، تنظیم حیوانات مواشی درساحه حصار شده 1396توسط انجمن </c:v>
                  </c:pt>
                  <c:pt idx="161">
                    <c:v>احیاء علفچراز طریق بذر تخم رشقه للمی </c:v>
                  </c:pt>
                  <c:pt idx="162">
                    <c:v>تهیه تخم رشقه للمی </c:v>
                  </c:pt>
                  <c:pt idx="163">
                    <c:v>بذرتخم رشقه للمی </c:v>
                  </c:pt>
                  <c:pt idx="164">
                    <c:v>احیاء نباتات طبی هنگ </c:v>
                  </c:pt>
                  <c:pt idx="165">
                    <c:v>حفرواصلاح چاله ،نرم کاری خاک وبذرتخم هنگ </c:v>
                  </c:pt>
                  <c:pt idx="166">
                    <c:v>ابیاری توسط اب پاش </c:v>
                  </c:pt>
                  <c:pt idx="167">
                    <c:v>خریداری تخم هنگ </c:v>
                  </c:pt>
                  <c:pt idx="168">
                    <c:v>خریداری اب پاش </c:v>
                  </c:pt>
                  <c:pt idx="169">
                    <c:v>تهیه اب </c:v>
                  </c:pt>
                  <c:pt idx="170">
                    <c:v>مصارف اموزش انجمنها و نظارت از فعالیت های تطبیق شده پروژه </c:v>
                  </c:pt>
                  <c:pt idx="172">
                    <c:v>محصول</c:v>
                  </c:pt>
                  <c:pt idx="173">
                    <c:v>احیایی علفچر طبیعی توسط قروغ ، تناوب چرا ، تنظیم حیوانات مواشی درساحه حصار شده 1396توسط انجمن </c:v>
                  </c:pt>
                  <c:pt idx="174">
                    <c:v>استخدام کارمند فنی برای 9 ماه</c:v>
                  </c:pt>
                  <c:pt idx="175">
                    <c:v>استخدام  نگران برای 12 ماه</c:v>
                  </c:pt>
                  <c:pt idx="176">
                    <c:v>کارگر برای خیشاوه نمودن برای 1 مراتبه</c:v>
                  </c:pt>
                  <c:pt idx="177">
                    <c:v>کارگر آبیاری و درو نمودن برای مدت 8 ماه </c:v>
                  </c:pt>
                  <c:pt idx="178">
                    <c:v>مصارف اموزش انجمنها و نظارت از فعالیت های تطبیق شده پروژه </c:v>
                  </c:pt>
                  <c:pt idx="180">
                    <c:v>محصول</c:v>
                  </c:pt>
                  <c:pt idx="181">
                    <c:v>احیایی علفچر طبیعی توسط قروغ ، تناوب چرا ، تنظیم حیوانات مواشی درساحه حصار شده 1396توسط انجمن </c:v>
                  </c:pt>
                  <c:pt idx="182">
                    <c:v>استخدام  نگران برای 12ماه</c:v>
                  </c:pt>
                  <c:pt idx="183">
                    <c:v>کارگر آبیاری و درو نمودن برای مدت 8 ماه </c:v>
                  </c:pt>
                  <c:pt idx="184">
                    <c:v>کارگر برای خیشاوه نمودن برای یک  مراتبه</c:v>
                  </c:pt>
                  <c:pt idx="185">
                    <c:v>مصارف اموزش انجمنها و نظارت از فعالیت های تطبیق شده پروژه </c:v>
                  </c:pt>
                  <c:pt idx="187">
                    <c:v>محصول</c:v>
                  </c:pt>
                  <c:pt idx="188">
                    <c:v>استخدام کارمند فنی برای 9 ماه</c:v>
                  </c:pt>
                  <c:pt idx="189">
                    <c:v>استخدام  نگران برای 12ماه</c:v>
                  </c:pt>
                  <c:pt idx="190">
                    <c:v>شناسایی انجمن علفچر ونباتات طبی </c:v>
                  </c:pt>
                  <c:pt idx="191">
                    <c:v>تدویرورکشاپ اموزشهای تخنیکی وپلان سازی برای اعضای انجمن </c:v>
                  </c:pt>
                  <c:pt idx="192">
                    <c:v>تثبیت ریگ های روان </c:v>
                  </c:pt>
                  <c:pt idx="193">
                    <c:v>تهیه قلمه گز، تاغ وسکساول </c:v>
                  </c:pt>
                  <c:pt idx="194">
                    <c:v>غرس قلمه گز، تاغ وسکساول</c:v>
                  </c:pt>
                  <c:pt idx="195">
                    <c:v>کشیدن نهال ازمرکزارایه خدمات تنظیم علفچر</c:v>
                  </c:pt>
                  <c:pt idx="196">
                    <c:v>تهیه یکعراد ه زرنج برای انتقال قلمه و نهال ریشه گز، تاغ وسکساول درساحه </c:v>
                  </c:pt>
                  <c:pt idx="197">
                    <c:v>حفرچقرک برای غرس نهال ریشه </c:v>
                  </c:pt>
                  <c:pt idx="198">
                    <c:v>غرس نهال ریشه گز، تاغ وسکساول </c:v>
                  </c:pt>
                  <c:pt idx="199">
                    <c:v>تهیه آب برای آبیاری نهال یک مرتبه </c:v>
                  </c:pt>
                  <c:pt idx="200">
                    <c:v>آبیاری نهال های غرس شده یک مرتبه </c:v>
                  </c:pt>
                  <c:pt idx="201">
                    <c:v>آماده ساختن زمین برای بذر تخم علوفه وغرس قلمه گز</c:v>
                  </c:pt>
                  <c:pt idx="202">
                    <c:v>تهیه تخم علوفه اگروپایرون</c:v>
                  </c:pt>
                  <c:pt idx="203">
                    <c:v>بذرتخم علوفه در قطار ( فاصله بین قطار 50 سانتی )</c:v>
                  </c:pt>
                  <c:pt idx="204">
                    <c:v>تهیه کود وسیاه وسفید </c:v>
                  </c:pt>
                  <c:pt idx="205">
                    <c:v>کارگر برای خیشاوه نمودن برای 1  مراتبه</c:v>
                  </c:pt>
                  <c:pt idx="206">
                    <c:v>کارگر آبیاری و درو نمودن برای مدت 8 ماه </c:v>
                  </c:pt>
                  <c:pt idx="207">
                    <c:v>احیا وحفاظت نبات طبی هنگ</c:v>
                  </c:pt>
                  <c:pt idx="208">
                    <c:v>حفرو اصلاح چاله ، نرم کاری خاک ، وبذرتخم هنگ </c:v>
                  </c:pt>
                  <c:pt idx="209">
                    <c:v>تهیه اب </c:v>
                  </c:pt>
                  <c:pt idx="210">
                    <c:v>ابیاری توسط ابپاش</c:v>
                  </c:pt>
                  <c:pt idx="211">
                    <c:v>خریداری تخم هنگ </c:v>
                  </c:pt>
                  <c:pt idx="212">
                    <c:v>خریداری اب پاش </c:v>
                  </c:pt>
                  <c:pt idx="213">
                    <c:v>روغنیات زرنج </c:v>
                  </c:pt>
                  <c:pt idx="214">
                    <c:v>مصارف اموزش انجمنها و نظارت از فعالیت های تطبیق شده پروژه </c:v>
                  </c:pt>
                  <c:pt idx="216">
                    <c:v>محصول</c:v>
                  </c:pt>
                  <c:pt idx="217">
                    <c:v>استخدام  نگران برای 12ماه</c:v>
                  </c:pt>
                  <c:pt idx="218">
                    <c:v>احیایی علفچر طبیعی توسط قروغ ، تناوب چرا ، تنظیم حیوانات مواشی درساحه حصار شده 1396توسط انجمن </c:v>
                  </c:pt>
                  <c:pt idx="219">
                    <c:v>تثبیت ریگ های روان </c:v>
                  </c:pt>
                  <c:pt idx="220">
                    <c:v>تهیه قلمه گز، تاغ وسکساول </c:v>
                  </c:pt>
                  <c:pt idx="221">
                    <c:v>غرس قلمه گز، تاغ وسکساول</c:v>
                  </c:pt>
                  <c:pt idx="222">
                    <c:v>کشیدن نهال ازمرکزارایه خدمات تنظیم علفچر</c:v>
                  </c:pt>
                  <c:pt idx="223">
                    <c:v>تهیه یکعراد ه زرنج برای انتقال قلمه و نهال ریشه گز، تاغ وسکساول درساحه </c:v>
                  </c:pt>
                  <c:pt idx="224">
                    <c:v>حفرچقرک برای غرس نهال ریشه </c:v>
                  </c:pt>
                  <c:pt idx="225">
                    <c:v>غرس نهال ریشه گز، تاغ وسکساول </c:v>
                  </c:pt>
                  <c:pt idx="226">
                    <c:v>تهیه آب برای آبیاری نهال یک مرتبه </c:v>
                  </c:pt>
                  <c:pt idx="227">
                    <c:v>آبیاری نهال های غرس شده یک مرتبه </c:v>
                  </c:pt>
                  <c:pt idx="228">
                    <c:v>آماده ساختن زمین مراکز تکثیری برای بذر تخم علوفه وغرس قلمه</c:v>
                  </c:pt>
                  <c:pt idx="229">
                    <c:v>تهیه تخم علوفه اگروپایرون</c:v>
                  </c:pt>
                  <c:pt idx="230">
                    <c:v>بذرتخم علوفه در قطار درساحه 2 هکتارمرکزارایه خدمات تنظیم علفچر </c:v>
                  </c:pt>
                  <c:pt idx="231">
                    <c:v>تهیه کود وسیاه وسفید </c:v>
                  </c:pt>
                  <c:pt idx="232">
                    <c:v>کارگر برای خیشاوه نمودن برای 1 مراتبه</c:v>
                  </c:pt>
                  <c:pt idx="233">
                    <c:v>کارگر آبیاری و درو نمودن برای مدت 8 ماه </c:v>
                  </c:pt>
                  <c:pt idx="234">
                    <c:v>تهیه روغنیات برای زرنج</c:v>
                  </c:pt>
                  <c:pt idx="235">
                    <c:v>مصارف اموزش انجمنها و نظارت از فعالیت های تطبیق شده پروژه </c:v>
                  </c:pt>
                  <c:pt idx="237">
                    <c:v>محصول</c:v>
                  </c:pt>
                  <c:pt idx="238">
                    <c:v>شناسایی انجمن علفچر ونباتات طبی </c:v>
                  </c:pt>
                  <c:pt idx="239">
                    <c:v>تدویرورکشاپ اموزشهای تخنیکی وپلان سازی برای اعضای انجمن </c:v>
                  </c:pt>
                  <c:pt idx="240">
                    <c:v>احیاء موازی 100 هکتار علفچرتوسط بذر تخم علوفه </c:v>
                  </c:pt>
                  <c:pt idx="241">
                    <c:v>تهیه تخم علوفه برای موازی 100 هکتار فی هکتار 5 کیلوگرام </c:v>
                  </c:pt>
                  <c:pt idx="242">
                    <c:v>بذرپاشی و زیرخاک نمودن تخم علفوفه درساحات تخریب شده علفچر</c:v>
                  </c:pt>
                  <c:pt idx="243">
                    <c:v>مصارف اموزش انجمنها و نظارت از فعالیت های تطبیق شده پروژه </c:v>
                  </c:pt>
                  <c:pt idx="245">
                    <c:v>محصول</c:v>
                  </c:pt>
                  <c:pt idx="246">
                    <c:v>شناسایی انجمن علفچر ونباتات طبی </c:v>
                  </c:pt>
                  <c:pt idx="247">
                    <c:v>تدویرورکشاپ اموزشهای تخنیکی وپلان سازی برای اعضای انجمن </c:v>
                  </c:pt>
                  <c:pt idx="248">
                    <c:v>احیاء موازی 100 هکتار علفچرتوسط بذر تخم علوفه </c:v>
                  </c:pt>
                  <c:pt idx="249">
                    <c:v>تهیه تخم علوفه فی هکتار 5 کیلوگرام </c:v>
                  </c:pt>
                  <c:pt idx="250">
                    <c:v>بذرپاشی و زیرخاک نمودن تخم علفوفه درساحات تخریب شده علفچر</c:v>
                  </c:pt>
                  <c:pt idx="251">
                    <c:v>مصارف اموزش انجمنها و نظارت از فعالیت های تطبیق شده پروژه </c:v>
                  </c:pt>
                  <c:pt idx="253">
                    <c:v>محصول</c:v>
                  </c:pt>
                  <c:pt idx="254">
                    <c:v>شناسایی انجمن علفچر ونباتات طبی </c:v>
                  </c:pt>
                  <c:pt idx="255">
                    <c:v>تدویرورکشاپ اموزشهای تخنیکی وپلان سازی برای اعضای انجمن </c:v>
                  </c:pt>
                  <c:pt idx="256">
                    <c:v>احیاء موازی 100 هکتار علفچرتوسط بذر تخم علوفه </c:v>
                  </c:pt>
                  <c:pt idx="257">
                    <c:v>تهیه تخم علوفه برای موازی 100 هکتار فی هکتار 5 کیلوگرام </c:v>
                  </c:pt>
                  <c:pt idx="258">
                    <c:v>بذرپاشی و زیرخاک نمودن تخم علفوفه درساحات تخریب شده علفچر</c:v>
                  </c:pt>
                  <c:pt idx="259">
                    <c:v>مصارف اموزش انجمنها و نظارت از فعالیت های تطبیق شده پروژه </c:v>
                  </c:pt>
                  <c:pt idx="261">
                    <c:v>محصول</c:v>
                  </c:pt>
                  <c:pt idx="262">
                    <c:v>شناسایی انجمن علفچر ونباتات طبی </c:v>
                  </c:pt>
                  <c:pt idx="263">
                    <c:v>تدویرورکشاپ اموزشهای تخنیکی وپلان سازی برای اعضای انجمن </c:v>
                  </c:pt>
                  <c:pt idx="264">
                    <c:v>احیاء موازی 100 هکتار علفچرتوسط بذر تخم رشقه للمی </c:v>
                  </c:pt>
                  <c:pt idx="265">
                    <c:v>تهیه تخم رشقه برای موازی 100 هکتار </c:v>
                  </c:pt>
                  <c:pt idx="266">
                    <c:v>بذرپاشی و زیرخاک نمودن تخم رشقه للمی درساحات تخریب شده علفچر</c:v>
                  </c:pt>
                  <c:pt idx="267">
                    <c:v>مصارف اموزش انجمنها و نظارت از فعالیت های تطبیق شده پروژه </c:v>
                  </c:pt>
                  <c:pt idx="269">
                    <c:v>محصول</c:v>
                  </c:pt>
                  <c:pt idx="270">
                    <c:v>شناسایی انجمن علفچر ونباتات طبی </c:v>
                  </c:pt>
                  <c:pt idx="271">
                    <c:v>تدویرورکشاپ اموزشهای تخنیکی وپلان سازی برای اعضای انجمن </c:v>
                  </c:pt>
                  <c:pt idx="272">
                    <c:v>احیاء موازی 100 هکتار علفچرتوسط بذر تخم رشقه للمی </c:v>
                  </c:pt>
                  <c:pt idx="273">
                    <c:v>تهیه تخم علوفه برای موازی 100 هکتار </c:v>
                  </c:pt>
                  <c:pt idx="274">
                    <c:v>بذرپاشی و زیرخاک نمودن تخم رشقه للمی درساحات تخریب شده علفچر</c:v>
                  </c:pt>
                  <c:pt idx="275">
                    <c:v>احیاء نبات طبی هنگ </c:v>
                  </c:pt>
                  <c:pt idx="276">
                    <c:v>حفرواصلاح چاله ،نرم کاری خاک وبذرتخم هنگ </c:v>
                  </c:pt>
                  <c:pt idx="277">
                    <c:v>ابیاری توسط اب پاش </c:v>
                  </c:pt>
                  <c:pt idx="278">
                    <c:v>خریداری تخم هنگ </c:v>
                  </c:pt>
                  <c:pt idx="279">
                    <c:v>خریداری اب پاش </c:v>
                  </c:pt>
                  <c:pt idx="280">
                    <c:v>تهیه اب </c:v>
                  </c:pt>
                  <c:pt idx="281">
                    <c:v>مصارف اموزش انجمنها و نظارت از فعالیت های تطبیق شده پروژه </c:v>
                  </c:pt>
                  <c:pt idx="283">
                    <c:v>محصول</c:v>
                  </c:pt>
                  <c:pt idx="284">
                    <c:v>شناسایی انجمن علفچر ونباتات طبی </c:v>
                  </c:pt>
                  <c:pt idx="285">
                    <c:v>تدویرورکشاپ اموزشهای تخنیکی وپلان سازی برای اعضای انجمن </c:v>
                  </c:pt>
                  <c:pt idx="286">
                    <c:v>احیاء موازی 100 هکتار علفچرتوسط بذر تخم علوفه </c:v>
                  </c:pt>
                  <c:pt idx="287">
                    <c:v>تهیه تخم علوفه برای موازی 100 هکتار فی هکتار 5 کیلوگرام </c:v>
                  </c:pt>
                  <c:pt idx="288">
                    <c:v>بذرپاشی و زیرخاک نمودن تخم رشقه للمی درساحات تخریب شده علفچر</c:v>
                  </c:pt>
                  <c:pt idx="289">
                    <c:v>احیاء نباتات طبی هنگ </c:v>
                  </c:pt>
                  <c:pt idx="290">
                    <c:v>حفرواصلاح چاله ،نرم کاری خاک وبذرتخم هنگ </c:v>
                  </c:pt>
                  <c:pt idx="291">
                    <c:v>ابیاری توسط اب پاش </c:v>
                  </c:pt>
                  <c:pt idx="292">
                    <c:v>خریداری تخم هنگ </c:v>
                  </c:pt>
                  <c:pt idx="293">
                    <c:v>خریداری اب پاش </c:v>
                  </c:pt>
                  <c:pt idx="294">
                    <c:v>تهیه اب </c:v>
                  </c:pt>
                  <c:pt idx="295">
                    <c:v>مصارف اموزش انجمنها و نظارت از فعالیت های تطبیق شده پروژه </c:v>
                  </c:pt>
                  <c:pt idx="297">
                    <c:v>استخدام یک نفر متخصص علفچرها</c:v>
                  </c:pt>
                  <c:pt idx="298">
                    <c:v>تمدید قرارداد یک نفر متخصص نباتات طبی</c:v>
                  </c:pt>
                  <c:pt idx="302">
                    <c:v>محصول</c:v>
                  </c:pt>
                  <c:pt idx="303">
                    <c:v>آماده ساختن وپلات بندی یک  جریب زمین </c:v>
                  </c:pt>
                  <c:pt idx="304">
                    <c:v>خیشاوه کتمن کاری (3) جریب زمین برای 3 مرتبه </c:v>
                  </c:pt>
                  <c:pt idx="305">
                    <c:v>پاککاری جوی ها بطول (287) متر</c:v>
                  </c:pt>
                  <c:pt idx="306">
                    <c:v>تهیه(20) مترمکعب کمپوست </c:v>
                  </c:pt>
                  <c:pt idx="307">
                    <c:v>تراسپلانت (10000) اصله نهال </c:v>
                  </c:pt>
                  <c:pt idx="308">
                    <c:v>بذرساحه یک جریب زمین درساحه آذاد</c:v>
                  </c:pt>
                  <c:pt idx="309">
                    <c:v>مواد ،تجهیزات ،وسایل کاروروغنیات </c:v>
                  </c:pt>
                  <c:pt idx="311">
                    <c:v>آماده ساختن وپلات بندی 5 جریب زمین </c:v>
                  </c:pt>
                  <c:pt idx="312">
                    <c:v>خیشاوه کتمن کاری (3) جریب زمین برای 3 مرتبه </c:v>
                  </c:pt>
                  <c:pt idx="313">
                    <c:v>پاککاری جوی ها بطول (250) متر</c:v>
                  </c:pt>
                  <c:pt idx="314">
                    <c:v>تهیه(11) مترمکعب کمپوست </c:v>
                  </c:pt>
                  <c:pt idx="315">
                    <c:v>تراسپلانت (10000) اصله نهال </c:v>
                  </c:pt>
                  <c:pt idx="316">
                    <c:v>بذرساحه یک جریب زمین درساحه آذاد</c:v>
                  </c:pt>
                  <c:pt idx="317">
                    <c:v>مواد ،تجهیزات ،وسایل کاروروغنیات </c:v>
                  </c:pt>
                  <c:pt idx="319">
                    <c:v>آماده ساختن وپلات بندی 5 جریب زمین </c:v>
                  </c:pt>
                  <c:pt idx="320">
                    <c:v>بذرساحه یک جریب زمین درساحه آذاد</c:v>
                  </c:pt>
                  <c:pt idx="321">
                    <c:v>خیشاوه کتمن کاری (3) جریب زمین برای 3 مرتبه </c:v>
                  </c:pt>
                  <c:pt idx="322">
                    <c:v>پاککاری جوی ها بطول (500) متر</c:v>
                  </c:pt>
                  <c:pt idx="323">
                    <c:v>تهیه(20) مترمکعب کمپوست </c:v>
                  </c:pt>
                  <c:pt idx="324">
                    <c:v>تراسپلانت (10000) اصله نهال </c:v>
                  </c:pt>
                  <c:pt idx="325">
                    <c:v>مواد ،تجهیزات ،وسایل کاروروغنیات </c:v>
                  </c:pt>
                  <c:pt idx="327">
                    <c:v>آماده ساختن وپلات بندی 30 جریب زمین </c:v>
                  </c:pt>
                  <c:pt idx="328">
                    <c:v>احداث سرک های فرعی فارم </c:v>
                  </c:pt>
                  <c:pt idx="329">
                    <c:v>احداث جوی های  جدید بطول (500) متر</c:v>
                  </c:pt>
                  <c:pt idx="330">
                    <c:v>بذرساحه دو جریب زمین درساحه آذاد</c:v>
                  </c:pt>
                  <c:pt idx="331">
                    <c:v>مواد ،تجهیزات ،وسایل کاروروغنیات </c:v>
                  </c:pt>
                  <c:pt idx="332">
                    <c:v>اعماردیوار احاطه ، تعمیر ، چاه عمیق وفعالیت های تخنیکی قرارداد شده 1396</c:v>
                  </c:pt>
                  <c:pt idx="334">
                    <c:v>اماده ساختن وپلات بندی (4 )جریب زمین </c:v>
                  </c:pt>
                  <c:pt idx="335">
                    <c:v>بذرساحه یک جریب زمین درساحه آذاد</c:v>
                  </c:pt>
                  <c:pt idx="336">
                    <c:v>خیشاوه کتمن کاری (3) جریب زمین برای 3 مرتبه </c:v>
                  </c:pt>
                  <c:pt idx="337">
                    <c:v>پاککاری جوی ها بطول (250) متر</c:v>
                  </c:pt>
                  <c:pt idx="338">
                    <c:v>تهیه(12) مترمکعب کمپوست </c:v>
                  </c:pt>
                  <c:pt idx="339">
                    <c:v>مواد ،تجهیزات ،وسایل کاروروغنیات </c:v>
                  </c:pt>
                  <c:pt idx="340">
                    <c:v>ترمیم ذخیره آب  وشبکه آبیاری قوریه  فارم مره لاق </c:v>
                  </c:pt>
                  <c:pt idx="342">
                    <c:v>اماده ساختن وپلات بندی (4 )جریب زمین </c:v>
                  </c:pt>
                  <c:pt idx="343">
                    <c:v>خیشاوه کتمن کاری (5) جریب زمین برای 3 مرتبه </c:v>
                  </c:pt>
                  <c:pt idx="344">
                    <c:v>پاککاری جوی ها بطول (250) متر</c:v>
                  </c:pt>
                  <c:pt idx="345">
                    <c:v>تهیه(12) مترمکعب کمپوست </c:v>
                  </c:pt>
                  <c:pt idx="346">
                    <c:v>مواد ،تجهیزات ،وسایل کاروروغنیات </c:v>
                  </c:pt>
                  <c:pt idx="348">
                    <c:v>اماده سا ختن 20جریب زمین </c:v>
                  </c:pt>
                  <c:pt idx="349">
                    <c:v>بذرساحه دو جریب زمین درساحه آذاد</c:v>
                  </c:pt>
                  <c:pt idx="350">
                    <c:v>پرکاری (20000) خریطه پلاستیکی وبذرآن</c:v>
                  </c:pt>
                  <c:pt idx="351">
                    <c:v>خیشاوه کتمن کاری 7جریب زمین برای3 مرتبه </c:v>
                  </c:pt>
                  <c:pt idx="352">
                    <c:v>پاککاری جوی ها بطول (300) متر</c:v>
                  </c:pt>
                  <c:pt idx="353">
                    <c:v>تهیه(20) مترمکعب کمپوست </c:v>
                  </c:pt>
                  <c:pt idx="354">
                    <c:v>تراسپلانت (15000) اصله نهال </c:v>
                  </c:pt>
                  <c:pt idx="355">
                    <c:v>مواد ،تجهیزات ،وسایل کاروروغنیات </c:v>
                  </c:pt>
                  <c:pt idx="357">
                    <c:v>آماده ساختن وپلات بندی 3 جریب زمین </c:v>
                  </c:pt>
                  <c:pt idx="358">
                    <c:v>خیشاوه کتمن کاری (2) جریب زمین برای 3 مرتبه </c:v>
                  </c:pt>
                  <c:pt idx="359">
                    <c:v>پاککاری جوی ها بطول (300) متر</c:v>
                  </c:pt>
                  <c:pt idx="360">
                    <c:v>تهیه(15) مترمکعب کمپوست </c:v>
                  </c:pt>
                  <c:pt idx="361">
                    <c:v>بذرساحه یک جریب زمین درساحه آذاد</c:v>
                  </c:pt>
                  <c:pt idx="362">
                    <c:v>اعمار سیتم آبیاری فارم تاشلی گذر </c:v>
                  </c:pt>
                  <c:pt idx="363">
                    <c:v>مواد ،تجهیزات ،وسایل کاروروغنیات </c:v>
                  </c:pt>
                  <c:pt idx="365">
                    <c:v>آماده ساختن وپلات بندی 5 جریب زمین </c:v>
                  </c:pt>
                  <c:pt idx="366">
                    <c:v>بذرساحه یک جریب زمین درساحه آذاد</c:v>
                  </c:pt>
                  <c:pt idx="367">
                    <c:v>خیشاوه کتمن کاری (6) جریب زمین برای 3 مرتبه </c:v>
                  </c:pt>
                  <c:pt idx="368">
                    <c:v>پاککاری جوی ها بطول (300) متر</c:v>
                  </c:pt>
                  <c:pt idx="369">
                    <c:v>تهیه(15) مترمکعب کمپوست </c:v>
                  </c:pt>
                  <c:pt idx="370">
                    <c:v>تراسپلانت (20000) اصله نهال </c:v>
                  </c:pt>
                  <c:pt idx="371">
                    <c:v>مواد ،تجهیزات ،وسایل کاروروغنیات </c:v>
                  </c:pt>
                  <c:pt idx="373">
                    <c:v>اماده ساختن وپلات بندی (6 )جریب زمین </c:v>
                  </c:pt>
                  <c:pt idx="374">
                    <c:v>بذرساحه یک جریب زمین درساحه آذاد</c:v>
                  </c:pt>
                  <c:pt idx="375">
                    <c:v>پرکاری (20000) خریطه پلاستیکی وبذرآن</c:v>
                  </c:pt>
                  <c:pt idx="376">
                    <c:v>خیشاوه کتمن کاری (5) جریب زمین برای 3 مرتبه </c:v>
                  </c:pt>
                  <c:pt idx="377">
                    <c:v>پاککاری جوی ها بطول (300) متر</c:v>
                  </c:pt>
                  <c:pt idx="378">
                    <c:v>تهیه(12) مترمکعب کمپوست </c:v>
                  </c:pt>
                  <c:pt idx="379">
                    <c:v>تراسپلانت (20000) اصله نهال </c:v>
                  </c:pt>
                  <c:pt idx="380">
                    <c:v>مواد ،تجهیزات ،وسایل کاروروغنیات </c:v>
                  </c:pt>
                  <c:pt idx="382">
                    <c:v>اماده ساختن وپلات بندی (5)جریب زمین </c:v>
                  </c:pt>
                  <c:pt idx="383">
                    <c:v>بذرساحه یک جریب زمین درساحه آذاد</c:v>
                  </c:pt>
                  <c:pt idx="384">
                    <c:v>خیشاوه کتمن کاری (6) جریب زمین برای 3 مرتبه </c:v>
                  </c:pt>
                  <c:pt idx="385">
                    <c:v>پاککاری جوی ها بطول (300) متر</c:v>
                  </c:pt>
                  <c:pt idx="386">
                    <c:v>تهیه(20) مترمکعب کمپوست </c:v>
                  </c:pt>
                  <c:pt idx="387">
                    <c:v>تراسپلانت (10000) اصله نهال </c:v>
                  </c:pt>
                  <c:pt idx="388">
                    <c:v>مواد ،تجهیزات ،وسایل کاروروغنیات </c:v>
                  </c:pt>
                  <c:pt idx="390">
                    <c:v>اماده سا ختن10جریب زمین </c:v>
                  </c:pt>
                  <c:pt idx="391">
                    <c:v>بذرساحه یک جریب زمین درساحه آذاد</c:v>
                  </c:pt>
                  <c:pt idx="392">
                    <c:v>خیشاوه کتمن کاری (6) جریب زمین برای 3 مرتبه </c:v>
                  </c:pt>
                  <c:pt idx="393">
                    <c:v>پاککاری جوی ها بطول (250) متر</c:v>
                  </c:pt>
                  <c:pt idx="394">
                    <c:v>تهیه(25) مترمکعب کمپوست </c:v>
                  </c:pt>
                  <c:pt idx="395">
                    <c:v>حفریک حلقه چاه عمیق ونصب سولر</c:v>
                  </c:pt>
                  <c:pt idx="396">
                    <c:v>مواد ،تجهیزات ،وسایل کاروروغنیات </c:v>
                  </c:pt>
                  <c:pt idx="398">
                    <c:v>آماده ساختن وپلات بندی 6 جریب زمین </c:v>
                  </c:pt>
                  <c:pt idx="399">
                    <c:v>بذرساحه یک جریب زمین درساحه آذاد</c:v>
                  </c:pt>
                  <c:pt idx="400">
                    <c:v>خیشاوه کتمن کاری (6) جریب زمین برای 3 مرتبه </c:v>
                  </c:pt>
                  <c:pt idx="401">
                    <c:v>پرکاری (19000) خریطه پلاستیکی وبذرآن</c:v>
                  </c:pt>
                  <c:pt idx="402">
                    <c:v>پاککاری جوی ها بطول (300) متر</c:v>
                  </c:pt>
                  <c:pt idx="403">
                    <c:v>تهیه(11) مترمکعب کمپوست </c:v>
                  </c:pt>
                  <c:pt idx="404">
                    <c:v>تراسپلانت (10000) اصله نهال </c:v>
                  </c:pt>
                  <c:pt idx="405">
                    <c:v>حفریک حلقه چاه عمیق ونصب سولر</c:v>
                  </c:pt>
                  <c:pt idx="406">
                    <c:v>مواد ،تجهیزات ،وسایل کاروروغنیات </c:v>
                  </c:pt>
                  <c:pt idx="408">
                    <c:v>اماده سا ختن5جریب زمین </c:v>
                  </c:pt>
                  <c:pt idx="409">
                    <c:v>خیشاوه کتمن کاری (3) جریب زمین برای 3 مرتبه </c:v>
                  </c:pt>
                  <c:pt idx="410">
                    <c:v>پاککاری جوی ها بطول (250) متر</c:v>
                  </c:pt>
                  <c:pt idx="411">
                    <c:v>تهیه(15) مترمکعب کمپوست </c:v>
                  </c:pt>
                  <c:pt idx="412">
                    <c:v>بذرساحه یک جریب زمین درساحه آذاد</c:v>
                  </c:pt>
                  <c:pt idx="413">
                    <c:v>پرداخت پول سبز خانه قرارداد شده سال 1396</c:v>
                  </c:pt>
                  <c:pt idx="414">
                    <c:v>مواد ،تجهیزات ،وسایل کاروروغنیات </c:v>
                  </c:pt>
                  <c:pt idx="416">
                    <c:v>اماده سا ختن10جریب زمین </c:v>
                  </c:pt>
                  <c:pt idx="417">
                    <c:v>پاککاری جوی ها بطول (250) متر</c:v>
                  </c:pt>
                  <c:pt idx="418">
                    <c:v>تهیه(10) مترمکعب کمپوست </c:v>
                  </c:pt>
                  <c:pt idx="419">
                    <c:v>بذرساحه یک جریب زمین درساحه آذاد</c:v>
                  </c:pt>
                  <c:pt idx="420">
                    <c:v> نصب سیتم انرژی آفتابی یک حلقه چاه در قوریه تنی </c:v>
                  </c:pt>
                  <c:pt idx="421">
                    <c:v>مواد ،تجهیزات ،وسایل کاروروغنیات </c:v>
                  </c:pt>
                  <c:pt idx="423">
                    <c:v>اماده سا ختن 15جریب زمین </c:v>
                  </c:pt>
                  <c:pt idx="424">
                    <c:v>بذرساحه دو جریب زمین درساحه آذاد</c:v>
                  </c:pt>
                  <c:pt idx="425">
                    <c:v>پرکاری (40000) خریطه پلاستیکی وبذرآن</c:v>
                  </c:pt>
                  <c:pt idx="426">
                    <c:v>خیشاوه کتمن کاری 7جریب زمین برای3 مرتبه </c:v>
                  </c:pt>
                  <c:pt idx="427">
                    <c:v>پاککاری جوی ها بطول (300) متر</c:v>
                  </c:pt>
                  <c:pt idx="428">
                    <c:v>تهیه(20) مترمکعب کمپوست </c:v>
                  </c:pt>
                  <c:pt idx="429">
                    <c:v>تراسپلانت (15000) اصله نهال </c:v>
                  </c:pt>
                  <c:pt idx="430">
                    <c:v>حفر چقرک </c:v>
                  </c:pt>
                  <c:pt idx="431">
                    <c:v>نهال شانی نهال بانکس </c:v>
                  </c:pt>
                  <c:pt idx="432">
                    <c:v>آبیاری نهال های غرس شده برای یک مرتبه </c:v>
                  </c:pt>
                  <c:pt idx="433">
                    <c:v>تدویر ورکشاپ یک روزه برای 35 نفر کارمندان ریاست زراعت </c:v>
                  </c:pt>
                  <c:pt idx="434">
                    <c:v>آموزش کارمندان توسط ترینر</c:v>
                  </c:pt>
                  <c:pt idx="435">
                    <c:v>تهیه غذا ، قرطاسیه وسایر ضروریات ورکشاپ </c:v>
                  </c:pt>
                  <c:pt idx="436">
                    <c:v>خریداری نهال ریشه ئی بانکس وانتقال آن به ساحه </c:v>
                  </c:pt>
                  <c:pt idx="437">
                    <c:v>خریداری اجناس ووسایل وسایر ضروریات ازقبیل (متر ، بیل ، کلند کود سیاه وسفید ) وغیره </c:v>
                  </c:pt>
                  <c:pt idx="439">
                    <c:v>اماده ساختن وپلات بندی (4 )جریب زمین </c:v>
                  </c:pt>
                  <c:pt idx="440">
                    <c:v>خیشاوه کتمن کاری (3) جریب زمین برای 3 مرتبه </c:v>
                  </c:pt>
                  <c:pt idx="441">
                    <c:v>پاککاری جوی ها بطول (250) متر</c:v>
                  </c:pt>
                  <c:pt idx="442">
                    <c:v>تهیه(10) مترمکعب کمپوست </c:v>
                  </c:pt>
                  <c:pt idx="443">
                    <c:v>تراسپلانت (10000) اصله نهال </c:v>
                  </c:pt>
                  <c:pt idx="444">
                    <c:v>بذرساحه یک  جریب زمین درساحه آذاد</c:v>
                  </c:pt>
                  <c:pt idx="445">
                    <c:v>مواد ،تجهیزات ،وسایل کاروروغنیات </c:v>
                  </c:pt>
                  <c:pt idx="447">
                    <c:v>اماده ساختن وپلات بندی (4 )جریب زمین </c:v>
                  </c:pt>
                  <c:pt idx="448">
                    <c:v>پرکاری (30000) خریطه پلاستیکی وبذرآن</c:v>
                  </c:pt>
                  <c:pt idx="449">
                    <c:v>خیشاوه کتمن کاری (5) جریب زمین برای 3 مرتبه </c:v>
                  </c:pt>
                  <c:pt idx="450">
                    <c:v>پاککاری جوی ها بطول (300) متر</c:v>
                  </c:pt>
                  <c:pt idx="451">
                    <c:v>تهیه(15) مترمکعب کمپوست </c:v>
                  </c:pt>
                  <c:pt idx="452">
                    <c:v>تراسپلانت (10000) اصله نهال </c:v>
                  </c:pt>
                  <c:pt idx="453">
                    <c:v>بذرساحه یک   جریب زمین درساحه آذاد</c:v>
                  </c:pt>
                  <c:pt idx="454">
                    <c:v>مواد ،تجهیزات ،وسایل کاروروغنیات </c:v>
                  </c:pt>
                  <c:pt idx="456">
                    <c:v>اماده ساختن وپلات بندی (8 )جریب زمین </c:v>
                  </c:pt>
                  <c:pt idx="457">
                    <c:v>بذرساحه دو  جریب زمین درساحه آذاد</c:v>
                  </c:pt>
                  <c:pt idx="458">
                    <c:v>خیشاوه کتمن کاری (8) جریب زمین برای 3 مرتبه </c:v>
                  </c:pt>
                  <c:pt idx="459">
                    <c:v>پاککاری جوی ها بطول (350) متر</c:v>
                  </c:pt>
                  <c:pt idx="460">
                    <c:v>تهیه(15) مترمکعب کمپوست </c:v>
                  </c:pt>
                  <c:pt idx="461">
                    <c:v>تراسپلانت (30000) اصله نهال </c:v>
                  </c:pt>
                  <c:pt idx="462">
                    <c:v>مواد ،تجهیزات ،وسایل کاروروغنیات </c:v>
                  </c:pt>
                  <c:pt idx="464">
                    <c:v>اماده ساختن وپلات بندی (6 )جریب زمین </c:v>
                  </c:pt>
                  <c:pt idx="465">
                    <c:v>بذرساحه یک جریب زمین درساحه آذاد</c:v>
                  </c:pt>
                  <c:pt idx="466">
                    <c:v>پرکاری (20000) خریطه پلاستیکی وبذرآن</c:v>
                  </c:pt>
                  <c:pt idx="467">
                    <c:v>خیشاوه کتمن کاری (6) جریب زمین برای 3 مرتبه </c:v>
                  </c:pt>
                  <c:pt idx="468">
                    <c:v>پاککاری جوی ها بطول (300) متر</c:v>
                  </c:pt>
                  <c:pt idx="469">
                    <c:v>تهیه(20) مترمکعب کمپوست </c:v>
                  </c:pt>
                  <c:pt idx="470">
                    <c:v>تراسپلانت (15000) اصله نهال </c:v>
                  </c:pt>
                  <c:pt idx="471">
                    <c:v>مواد ،تجهیزات ،وسایل کاروروغنیات </c:v>
                  </c:pt>
                  <c:pt idx="473">
                    <c:v>آماده ساختن وپلات بندی6جریب زمین </c:v>
                  </c:pt>
                  <c:pt idx="474">
                    <c:v>خیشاوه کتمن کاری (5) جریب زمین برای 3 مرتبه </c:v>
                  </c:pt>
                  <c:pt idx="475">
                    <c:v>پاککاری جوی ها بطول (350) متر</c:v>
                  </c:pt>
                  <c:pt idx="476">
                    <c:v>تهیه(15) مترمکعب کمپوست </c:v>
                  </c:pt>
                  <c:pt idx="477">
                    <c:v>تراسپلانت (10000) اصله نهال </c:v>
                  </c:pt>
                  <c:pt idx="478">
                    <c:v>بذرساحه یک جریب زمین درساحه آذاد</c:v>
                  </c:pt>
                  <c:pt idx="479">
                    <c:v>مواد ،تجهیزات ،وسایل کاروروغنیات </c:v>
                  </c:pt>
                  <c:pt idx="481">
                    <c:v>آماده ساختن وپلات بندی10جریب زمین </c:v>
                  </c:pt>
                  <c:pt idx="482">
                    <c:v>خیشاوه کتمن کاری (6) جریب زمین برای 3 مرتبه </c:v>
                  </c:pt>
                  <c:pt idx="483">
                    <c:v>پاککاری جوی ها بطول (300) متر</c:v>
                  </c:pt>
                  <c:pt idx="484">
                    <c:v>تهیه(15) مترمکعب کمپوست </c:v>
                  </c:pt>
                  <c:pt idx="485">
                    <c:v>تراسپلانت (12000) اصله نهال </c:v>
                  </c:pt>
                  <c:pt idx="486">
                    <c:v>بذرساحه دو جریب زمین درساحه آذاد</c:v>
                  </c:pt>
                  <c:pt idx="487">
                    <c:v>مواد ،تجهیزات ،وسایل کاروروغنیات </c:v>
                  </c:pt>
                  <c:pt idx="489">
                    <c:v>آماده ساختن وپلات بندی8جریب زمین </c:v>
                  </c:pt>
                  <c:pt idx="490">
                    <c:v>خیشاوه کتمن کاری (6) جریب زمین برای 3 مرتبه </c:v>
                  </c:pt>
                  <c:pt idx="491">
                    <c:v>پاککاری جوی ها بطول (300) متر</c:v>
                  </c:pt>
                  <c:pt idx="492">
                    <c:v>تهیه(15) مترمکعب کمپوست </c:v>
                  </c:pt>
                  <c:pt idx="493">
                    <c:v>تراسپلانت (10000) اصله نهال </c:v>
                  </c:pt>
                  <c:pt idx="494">
                    <c:v>بذرساحه یک جریب زمین درساحه آذاد</c:v>
                  </c:pt>
                  <c:pt idx="495">
                    <c:v>مواد ،تجهیزات ،وسایل کاروروغنیات </c:v>
                  </c:pt>
                  <c:pt idx="497">
                    <c:v>آماده ساختن وپلات بندی15جریب زمین </c:v>
                  </c:pt>
                  <c:pt idx="498">
                    <c:v>خیشاوه کتمن کاری (5) جریب زمین برای 3 مرتبه </c:v>
                  </c:pt>
                  <c:pt idx="499">
                    <c:v>پاککاری جوی ها بطول (300) متر</c:v>
                  </c:pt>
                  <c:pt idx="500">
                    <c:v>تهیه(15) مترمکعب کمپوست </c:v>
                  </c:pt>
                  <c:pt idx="501">
                    <c:v>تراسپلانت (10000) اصله نهال </c:v>
                  </c:pt>
                  <c:pt idx="502">
                    <c:v>بذرساحه دو جریب زمین درساحه آذاد</c:v>
                  </c:pt>
                  <c:pt idx="503">
                    <c:v>مواد ،تجهیزات ،وسایل کاروروغنیات </c:v>
                  </c:pt>
                  <c:pt idx="505">
                    <c:v>آماده ساختن وپلات بندی15جریب زمین </c:v>
                  </c:pt>
                  <c:pt idx="506">
                    <c:v>بذرساحه دو جریب زمین درساحه آذاد</c:v>
                  </c:pt>
                  <c:pt idx="507">
                    <c:v>خیشاوه کتمن کاری (6) جریب زمین برای 3 مرتبه </c:v>
                  </c:pt>
                  <c:pt idx="508">
                    <c:v>پاککاری جوی ها بطول (350) متر</c:v>
                  </c:pt>
                  <c:pt idx="509">
                    <c:v>تهیه(15) مترمکعب کمپوست </c:v>
                  </c:pt>
                  <c:pt idx="510">
                    <c:v>تراسپلانت (20000) اصله نهال </c:v>
                  </c:pt>
                  <c:pt idx="511">
                    <c:v>مواد ،تجهیزات ،وسایل کاروروغنیات </c:v>
                  </c:pt>
                  <c:pt idx="513">
                    <c:v>آماده ساختن وپلات بندی 4 جریب زمین </c:v>
                  </c:pt>
                  <c:pt idx="514">
                    <c:v>خیشاوه کتمن کاری (2) جریب زمین برای 3 مرتبه </c:v>
                  </c:pt>
                  <c:pt idx="515">
                    <c:v>بذرساحه یک جریب زمین درساحه آذاد</c:v>
                  </c:pt>
                  <c:pt idx="516">
                    <c:v>پاککاری جوی ها بطول (300) متر</c:v>
                  </c:pt>
                  <c:pt idx="517">
                    <c:v>تهیه(10) مترمکعب کمپوست </c:v>
                  </c:pt>
                  <c:pt idx="518">
                    <c:v>مواد ،تجهیزات ،وسایل کاروروغنیات </c:v>
                  </c:pt>
                  <c:pt idx="520">
                    <c:v>آماده ساختن وپلات بندی 10جریب زمین </c:v>
                  </c:pt>
                  <c:pt idx="521">
                    <c:v>بذرساحه یک جریب زمین درساحه آذاد</c:v>
                  </c:pt>
                  <c:pt idx="522">
                    <c:v>خیشاوه کتمن کاری (6) جریب زمین برای 3 مرتبه </c:v>
                  </c:pt>
                  <c:pt idx="523">
                    <c:v>پاککاری جوی ها بطول (300) متر</c:v>
                  </c:pt>
                  <c:pt idx="524">
                    <c:v>تهیه(10) مترمکعب کمپوست </c:v>
                  </c:pt>
                  <c:pt idx="525">
                    <c:v>تراسپلانت (10000) اصله نهال </c:v>
                  </c:pt>
                  <c:pt idx="526">
                    <c:v>مواد ،تجهیزات ،وسایل کاروروغنیات </c:v>
                  </c:pt>
                  <c:pt idx="528">
                    <c:v>آماده ساختن وپلات بندی6.5 جریب زمین </c:v>
                  </c:pt>
                  <c:pt idx="529">
                    <c:v>بذرساحه یک جریب زمین درساحه آذاد</c:v>
                  </c:pt>
                  <c:pt idx="530">
                    <c:v>خیشاوه کتمن کاری (5) جریب زمین برای 3 مرتبه </c:v>
                  </c:pt>
                  <c:pt idx="531">
                    <c:v>پاککاری جوی ها بطول (333) متر</c:v>
                  </c:pt>
                  <c:pt idx="532">
                    <c:v>تهیه(20) مترمکعب کمپوست </c:v>
                  </c:pt>
                  <c:pt idx="533">
                    <c:v>تراسپلانت (11000) اصله نهال </c:v>
                  </c:pt>
                  <c:pt idx="534">
                    <c:v>مواد ،تجهیزات ،وسایل کاروروغنیات </c:v>
                  </c:pt>
                  <c:pt idx="538">
                    <c:v>محصول</c:v>
                  </c:pt>
                  <c:pt idx="539">
                    <c:v>موجودیت  صفا کار</c:v>
                  </c:pt>
                  <c:pt idx="540">
                    <c:v>موجودیت محافظین</c:v>
                  </c:pt>
                  <c:pt idx="541">
                    <c:v>موجودیت پیاده رو سنگفرش و پخته</c:v>
                  </c:pt>
                  <c:pt idx="542">
                    <c:v>موجودیت آب در کمپلکس</c:v>
                  </c:pt>
                  <c:pt idx="544">
                    <c:v>محصول</c:v>
                  </c:pt>
                  <c:pt idx="545">
                    <c:v>موجودیت سوپروایزر</c:v>
                  </c:pt>
                  <c:pt idx="546">
                    <c:v>موجودیت محافظین</c:v>
                  </c:pt>
                  <c:pt idx="548">
                    <c:v>محصول</c:v>
                  </c:pt>
                  <c:pt idx="549">
                    <c:v>موجودیت محافظین</c:v>
                  </c:pt>
                  <c:pt idx="553">
                    <c:v>تمدید قرارداد 1 نفر متخصص مدیریت تغیر   منابع طبیعی</c:v>
                  </c:pt>
                  <c:pt idx="554">
                    <c:v>مصارف اداری، نظارت، ارزیابی ومصارف احتمالی </c:v>
                  </c:pt>
                  <c:pt idx="557">
                    <c:v>قیمت  هربخش  به افغانی </c:v>
                  </c:pt>
                  <c:pt idx="558">
                    <c:v> 13,770,000 </c:v>
                  </c:pt>
                  <c:pt idx="559">
                    <c:v> 17,808,821 </c:v>
                  </c:pt>
                  <c:pt idx="560">
                    <c:v> 26,601,968 </c:v>
                  </c:pt>
                  <c:pt idx="561">
                    <c:v> 7,828,100 </c:v>
                  </c:pt>
                  <c:pt idx="562">
                    <c:v> 2,331,110 </c:v>
                  </c:pt>
                  <c:pt idx="563">
                    <c:v> 68,340,000 </c:v>
                  </c:pt>
                  <c:pt idx="576">
                    <c:v>تصدیق کننده</c:v>
                  </c:pt>
                  <c:pt idx="577">
                    <c:v> انجنیر فهیم الله ضیائی  </c:v>
                  </c:pt>
                  <c:pt idx="578">
                    <c:v>معین آبیاری ومنابع طبیعی </c:v>
                  </c:pt>
                </c:lvl>
                <c:lvl>
                  <c:pt idx="2">
                    <c:v>قریه</c:v>
                  </c:pt>
                  <c:pt idx="8">
                    <c:v>قریه</c:v>
                  </c:pt>
                  <c:pt idx="9">
                    <c:v>ده برنج ،خارستانلامان  </c:v>
                  </c:pt>
                  <c:pt idx="13">
                    <c:v>قریه</c:v>
                  </c:pt>
                  <c:pt idx="14">
                    <c:v>بادام دره ، خطایان ،جوی شیخ وقبر قاضی </c:v>
                  </c:pt>
                  <c:pt idx="19">
                    <c:v>قریه</c:v>
                  </c:pt>
                  <c:pt idx="24">
                    <c:v>قریه</c:v>
                  </c:pt>
                  <c:pt idx="25">
                    <c:v>حضرت سلطان </c:v>
                  </c:pt>
                  <c:pt idx="29">
                    <c:v>قریه</c:v>
                  </c:pt>
                  <c:pt idx="33">
                    <c:v>قریه</c:v>
                  </c:pt>
                  <c:pt idx="37">
                    <c:v>قریه</c:v>
                  </c:pt>
                  <c:pt idx="41">
                    <c:v>قریه</c:v>
                  </c:pt>
                  <c:pt idx="47">
                    <c:v>قریه</c:v>
                  </c:pt>
                  <c:pt idx="54">
                    <c:v>قریه</c:v>
                  </c:pt>
                  <c:pt idx="55">
                    <c:v>روی دره ،کرامان وآب دره </c:v>
                  </c:pt>
                  <c:pt idx="59">
                    <c:v>قریه</c:v>
                  </c:pt>
                  <c:pt idx="64">
                    <c:v>قریه</c:v>
                  </c:pt>
                  <c:pt idx="70">
                    <c:v>قریه</c:v>
                  </c:pt>
                  <c:pt idx="72">
                    <c:v>دره قاق وتنگانی </c:v>
                  </c:pt>
                  <c:pt idx="86">
                    <c:v>قریه</c:v>
                  </c:pt>
                  <c:pt idx="87">
                    <c:v>بوزارق</c:v>
                  </c:pt>
                  <c:pt idx="114">
                    <c:v>قریه</c:v>
                  </c:pt>
                  <c:pt idx="115">
                    <c:v>دشت امرود</c:v>
                  </c:pt>
                  <c:pt idx="129">
                    <c:v>قریه</c:v>
                  </c:pt>
                  <c:pt idx="157">
                    <c:v>قریه</c:v>
                  </c:pt>
                  <c:pt idx="158">
                    <c:v>حضرت سلطان ، دره شرق </c:v>
                  </c:pt>
                  <c:pt idx="172">
                    <c:v>قریه</c:v>
                  </c:pt>
                  <c:pt idx="173">
                    <c:v>بهائی ,بخارا، وسبزناله
</c:v>
                  </c:pt>
                  <c:pt idx="180">
                    <c:v>قریه</c:v>
                  </c:pt>
                  <c:pt idx="181">
                    <c:v>کاسی ،تیل بای، نظر،دهن قره باغی  </c:v>
                  </c:pt>
                  <c:pt idx="187">
                    <c:v>قریه</c:v>
                  </c:pt>
                  <c:pt idx="216">
                    <c:v>قریه</c:v>
                  </c:pt>
                  <c:pt idx="217">
                    <c:v>تورغندی وشه بخش</c:v>
                  </c:pt>
                  <c:pt idx="237">
                    <c:v>قریه</c:v>
                  </c:pt>
                  <c:pt idx="245">
                    <c:v>قریه</c:v>
                  </c:pt>
                  <c:pt idx="253">
                    <c:v>قریه</c:v>
                  </c:pt>
                  <c:pt idx="254">
                    <c:v>وریاچ</c:v>
                  </c:pt>
                  <c:pt idx="261">
                    <c:v>قریه</c:v>
                  </c:pt>
                  <c:pt idx="269">
                    <c:v>قریه</c:v>
                  </c:pt>
                  <c:pt idx="270">
                    <c:v>جوییخ وقبر قاضی </c:v>
                  </c:pt>
                  <c:pt idx="283">
                    <c:v>قریه</c:v>
                  </c:pt>
                  <c:pt idx="284">
                    <c:v>قرغن تو، وقریجا وسولای سه گانه</c:v>
                  </c:pt>
                  <c:pt idx="302">
                    <c:v>قریه</c:v>
                  </c:pt>
                  <c:pt idx="303">
                    <c:v>عقب ولسوالی </c:v>
                  </c:pt>
                  <c:pt idx="311">
                    <c:v>مرکز باغ جبل السراج</c:v>
                  </c:pt>
                  <c:pt idx="319">
                    <c:v>شوخی </c:v>
                  </c:pt>
                  <c:pt idx="327">
                    <c:v>دشت توپ</c:v>
                  </c:pt>
                  <c:pt idx="334">
                    <c:v>مره لاق ودشتک </c:v>
                  </c:pt>
                  <c:pt idx="342">
                    <c:v>شش پل</c:v>
                  </c:pt>
                  <c:pt idx="348">
                    <c:v>ده هدادی</c:v>
                  </c:pt>
                  <c:pt idx="357">
                    <c:v>تاشلی گذر</c:v>
                  </c:pt>
                  <c:pt idx="365">
                    <c:v>جنگل باغ شبرغان</c:v>
                  </c:pt>
                  <c:pt idx="373">
                    <c:v>کارته مامورین </c:v>
                  </c:pt>
                  <c:pt idx="382">
                    <c:v>جنگل باغ</c:v>
                  </c:pt>
                  <c:pt idx="390">
                    <c:v>باغ تیره </c:v>
                  </c:pt>
                  <c:pt idx="398">
                    <c:v>جنگل باغ </c:v>
                  </c:pt>
                  <c:pt idx="408">
                    <c:v>مرکز</c:v>
                  </c:pt>
                  <c:pt idx="416">
                    <c:v>مرکز ولسوالی </c:v>
                  </c:pt>
                  <c:pt idx="423">
                    <c:v>ولسوالی بهسود وفارم جدید </c:v>
                  </c:pt>
                  <c:pt idx="439">
                    <c:v>باغ قلعه سراج </c:v>
                  </c:pt>
                  <c:pt idx="447">
                    <c:v>مندکول</c:v>
                  </c:pt>
                  <c:pt idx="456">
                    <c:v>جنگل باغ پل پشتو</c:v>
                  </c:pt>
                  <c:pt idx="464">
                    <c:v>جنگل باغ شمالی</c:v>
                  </c:pt>
                  <c:pt idx="473">
                    <c:v>مرکز</c:v>
                  </c:pt>
                  <c:pt idx="481">
                    <c:v>فارم شگوفان </c:v>
                  </c:pt>
                  <c:pt idx="489">
                    <c:v>مرکز ولسوالی </c:v>
                  </c:pt>
                  <c:pt idx="497">
                    <c:v>باغ اختر</c:v>
                  </c:pt>
                  <c:pt idx="505">
                    <c:v>جنگل باغ  تالقان وچاه عمیق </c:v>
                  </c:pt>
                  <c:pt idx="513">
                    <c:v>مرکزترویجی</c:v>
                  </c:pt>
                  <c:pt idx="520">
                    <c:v>مرکز</c:v>
                  </c:pt>
                  <c:pt idx="528">
                    <c:v>مرکز</c:v>
                  </c:pt>
                  <c:pt idx="538">
                    <c:v>قریه</c:v>
                  </c:pt>
                  <c:pt idx="539">
                    <c:v>بند امیر</c:v>
                  </c:pt>
                  <c:pt idx="540">
                    <c:v>بند امیر</c:v>
                  </c:pt>
                  <c:pt idx="541">
                    <c:v>بند امیر</c:v>
                  </c:pt>
                  <c:pt idx="542">
                    <c:v>بند امیر</c:v>
                  </c:pt>
                  <c:pt idx="544">
                    <c:v>قریه</c:v>
                  </c:pt>
                  <c:pt idx="545">
                    <c:v>پارک ملی واخان</c:v>
                  </c:pt>
                  <c:pt idx="546">
                    <c:v>پارک ملی واخان</c:v>
                  </c:pt>
                  <c:pt idx="548">
                    <c:v>قریه</c:v>
                  </c:pt>
                  <c:pt idx="549">
                    <c:v>کول حشمت خان</c:v>
                  </c:pt>
                  <c:pt idx="553">
                    <c:v>مرکز </c:v>
                  </c:pt>
                  <c:pt idx="554">
                    <c:v>مرکز </c:v>
                  </c:pt>
                  <c:pt idx="565">
                    <c:v>وظیفه</c:v>
                  </c:pt>
                  <c:pt idx="566">
                    <c:v>امرتنظیم جنگلات وابریزه ها </c:v>
                  </c:pt>
                  <c:pt idx="567">
                    <c:v>امر احیا وتوسعه جنگلات </c:v>
                  </c:pt>
                  <c:pt idx="568">
                    <c:v>امرتنظیم علفچرها </c:v>
                  </c:pt>
                  <c:pt idx="569">
                    <c:v>مدیر پارک های ملی</c:v>
                  </c:pt>
                  <c:pt idx="571">
                    <c:v>رئیس جنگلات</c:v>
                  </c:pt>
                  <c:pt idx="572">
                    <c:v>رئیس علفچر ها</c:v>
                  </c:pt>
                  <c:pt idx="573">
                    <c:v>رئیس ساحات حفاظت شده </c:v>
                  </c:pt>
                  <c:pt idx="575">
                    <c:v>مدیر عمومی پلان و هماهنگی پروژه ها</c:v>
                  </c:pt>
                </c:lvl>
                <c:lvl>
                  <c:pt idx="2">
                    <c:v>ولسوالی</c:v>
                  </c:pt>
                  <c:pt idx="4">
                    <c:v>کشک کهنه </c:v>
                  </c:pt>
                  <c:pt idx="8">
                    <c:v>ولسوالی</c:v>
                  </c:pt>
                  <c:pt idx="9">
                    <c:v>قادس ،مقر مرکز </c:v>
                  </c:pt>
                  <c:pt idx="13">
                    <c:v>ولسوالی</c:v>
                  </c:pt>
                  <c:pt idx="14">
                    <c:v>نمک آب وبهارک </c:v>
                  </c:pt>
                  <c:pt idx="19">
                    <c:v>ولسوالی</c:v>
                  </c:pt>
                  <c:pt idx="20">
                    <c:v>ارگو، درایم</c:v>
                  </c:pt>
                  <c:pt idx="24">
                    <c:v>ولسوالی</c:v>
                  </c:pt>
                  <c:pt idx="25">
                    <c:v>مرکز </c:v>
                  </c:pt>
                  <c:pt idx="29">
                    <c:v>ولسوالی</c:v>
                  </c:pt>
                  <c:pt idx="30">
                    <c:v>مرکز</c:v>
                  </c:pt>
                  <c:pt idx="33">
                    <c:v>ولسوالی</c:v>
                  </c:pt>
                  <c:pt idx="34">
                    <c:v>مرکز</c:v>
                  </c:pt>
                  <c:pt idx="37">
                    <c:v>ولسوالی</c:v>
                  </c:pt>
                  <c:pt idx="38">
                    <c:v>مرکز </c:v>
                  </c:pt>
                  <c:pt idx="41">
                    <c:v>ولسوالی</c:v>
                  </c:pt>
                  <c:pt idx="42">
                    <c:v>ازره </c:v>
                  </c:pt>
                  <c:pt idx="47">
                    <c:v>ولسوالی</c:v>
                  </c:pt>
                  <c:pt idx="48">
                    <c:v>مانوگی، وته پور، و دانگام </c:v>
                  </c:pt>
                  <c:pt idx="54">
                    <c:v>ولسوالی</c:v>
                  </c:pt>
                  <c:pt idx="55">
                    <c:v>شتل ، دره وعنابه </c:v>
                  </c:pt>
                  <c:pt idx="59">
                    <c:v>ولسوالی</c:v>
                  </c:pt>
                  <c:pt idx="60">
                    <c:v>مرکز </c:v>
                  </c:pt>
                  <c:pt idx="64">
                    <c:v>ولسوالی</c:v>
                  </c:pt>
                  <c:pt idx="65">
                    <c:v>مرکز</c:v>
                  </c:pt>
                  <c:pt idx="70">
                    <c:v>ولسوالی</c:v>
                  </c:pt>
                  <c:pt idx="72">
                    <c:v>درایم وکشکان</c:v>
                  </c:pt>
                  <c:pt idx="86">
                    <c:v>ولسوالی</c:v>
                  </c:pt>
                  <c:pt idx="87">
                    <c:v>شورتپه ،چمتال، دهداتی</c:v>
                  </c:pt>
                  <c:pt idx="114">
                    <c:v>ولسوالی</c:v>
                  </c:pt>
                  <c:pt idx="115">
                    <c:v>خنجان </c:v>
                  </c:pt>
                  <c:pt idx="129">
                    <c:v>ولسوالی</c:v>
                  </c:pt>
                  <c:pt idx="130">
                    <c:v>مرکز ، قرقین </c:v>
                  </c:pt>
                  <c:pt idx="157">
                    <c:v>ولسوالی</c:v>
                  </c:pt>
                  <c:pt idx="158">
                    <c:v>مرکز، خرم سارباغ،حضرت سلطان </c:v>
                  </c:pt>
                  <c:pt idx="172">
                    <c:v>ولسوالی</c:v>
                  </c:pt>
                  <c:pt idx="173">
                    <c:v>ناهور</c:v>
                  </c:pt>
                  <c:pt idx="180">
                    <c:v>ولسوالی</c:v>
                  </c:pt>
                  <c:pt idx="181">
                    <c:v>مرکز, دولتیارولعل </c:v>
                  </c:pt>
                  <c:pt idx="187">
                    <c:v>ولسوالی</c:v>
                  </c:pt>
                  <c:pt idx="188">
                    <c:v>اندخوی</c:v>
                  </c:pt>
                  <c:pt idx="216">
                    <c:v>ولسوالی</c:v>
                  </c:pt>
                  <c:pt idx="217">
                    <c:v>غوریان وربات سنگی </c:v>
                  </c:pt>
                  <c:pt idx="237">
                    <c:v>ولسوالی</c:v>
                  </c:pt>
                  <c:pt idx="238">
                    <c:v>قلعه نو </c:v>
                  </c:pt>
                  <c:pt idx="245">
                    <c:v>ولسوالی</c:v>
                  </c:pt>
                  <c:pt idx="246">
                    <c:v>خدر وسنگ تخت </c:v>
                  </c:pt>
                  <c:pt idx="253">
                    <c:v>ولسوالی</c:v>
                  </c:pt>
                  <c:pt idx="254">
                    <c:v> پریان </c:v>
                  </c:pt>
                  <c:pt idx="261">
                    <c:v>ولسوالی</c:v>
                  </c:pt>
                  <c:pt idx="262">
                    <c:v>حصله اول بهسود</c:v>
                  </c:pt>
                  <c:pt idx="269">
                    <c:v>ولسوالی</c:v>
                  </c:pt>
                  <c:pt idx="270">
                    <c:v>مرکز </c:v>
                  </c:pt>
                  <c:pt idx="283">
                    <c:v>ولسوالی</c:v>
                  </c:pt>
                  <c:pt idx="284">
                    <c:v> مرکز ،سیغان،ورس وکه مرد</c:v>
                  </c:pt>
                  <c:pt idx="297">
                    <c:v>مرکز</c:v>
                  </c:pt>
                  <c:pt idx="302">
                    <c:v>ولسوالی</c:v>
                  </c:pt>
                  <c:pt idx="303">
                    <c:v>استالف </c:v>
                  </c:pt>
                  <c:pt idx="311">
                    <c:v>ولسوالی جبل السراج </c:v>
                  </c:pt>
                  <c:pt idx="319">
                    <c:v>مرکز</c:v>
                  </c:pt>
                  <c:pt idx="327">
                    <c:v>ولسوالی سید آباد</c:v>
                  </c:pt>
                  <c:pt idx="334">
                    <c:v>رخه ومرکز </c:v>
                  </c:pt>
                  <c:pt idx="342">
                    <c:v>مرکز </c:v>
                  </c:pt>
                  <c:pt idx="348">
                    <c:v>مرکز ولسوالی بلخ </c:v>
                  </c:pt>
                  <c:pt idx="357">
                    <c:v>مرکز </c:v>
                  </c:pt>
                  <c:pt idx="365">
                    <c:v>مرکز</c:v>
                  </c:pt>
                  <c:pt idx="373">
                    <c:v>مرکز </c:v>
                  </c:pt>
                  <c:pt idx="382">
                    <c:v>مرکز </c:v>
                  </c:pt>
                  <c:pt idx="390">
                    <c:v>مرکز</c:v>
                  </c:pt>
                  <c:pt idx="398">
                    <c:v>مرکز</c:v>
                  </c:pt>
                  <c:pt idx="408">
                    <c:v>مرکز </c:v>
                  </c:pt>
                  <c:pt idx="416">
                    <c:v>تنی </c:v>
                  </c:pt>
                  <c:pt idx="423">
                    <c:v>ولسوالی بهسود وفارم جدید </c:v>
                  </c:pt>
                  <c:pt idx="439">
                    <c:v>مرکز </c:v>
                  </c:pt>
                  <c:pt idx="447">
                    <c:v>مرکز </c:v>
                  </c:pt>
                  <c:pt idx="456">
                    <c:v>گذره </c:v>
                  </c:pt>
                  <c:pt idx="464">
                    <c:v>مرکز</c:v>
                  </c:pt>
                  <c:pt idx="473">
                    <c:v>مرکز </c:v>
                  </c:pt>
                  <c:pt idx="481">
                    <c:v>مرکز </c:v>
                  </c:pt>
                  <c:pt idx="489">
                    <c:v>کشم </c:v>
                  </c:pt>
                  <c:pt idx="497">
                    <c:v>بغلان جدید </c:v>
                  </c:pt>
                  <c:pt idx="505">
                    <c:v>مرکز</c:v>
                  </c:pt>
                  <c:pt idx="513">
                    <c:v>ژیری</c:v>
                  </c:pt>
                  <c:pt idx="520">
                    <c:v>مرکز</c:v>
                  </c:pt>
                  <c:pt idx="528">
                    <c:v>شهرستان  </c:v>
                  </c:pt>
                  <c:pt idx="538">
                    <c:v>ولسوالی</c:v>
                  </c:pt>
                  <c:pt idx="539">
                    <c:v>یکاولنگ</c:v>
                  </c:pt>
                  <c:pt idx="540">
                    <c:v>یکاولنگ</c:v>
                  </c:pt>
                  <c:pt idx="541">
                    <c:v>یکاولنگ</c:v>
                  </c:pt>
                  <c:pt idx="542">
                    <c:v>یکاولنگ</c:v>
                  </c:pt>
                  <c:pt idx="543">
                    <c:v>مجموع فرعی </c:v>
                  </c:pt>
                  <c:pt idx="544">
                    <c:v>ولسوالی</c:v>
                  </c:pt>
                  <c:pt idx="545">
                    <c:v>واخان</c:v>
                  </c:pt>
                  <c:pt idx="546">
                    <c:v>واخان</c:v>
                  </c:pt>
                  <c:pt idx="547">
                    <c:v>مجموع فرعی </c:v>
                  </c:pt>
                  <c:pt idx="548">
                    <c:v>ولسوالی</c:v>
                  </c:pt>
                  <c:pt idx="549">
                    <c:v>بگرامی</c:v>
                  </c:pt>
                  <c:pt idx="550">
                    <c:v>مجموع فرعی </c:v>
                  </c:pt>
                  <c:pt idx="553">
                    <c:v>مرکز </c:v>
                  </c:pt>
                  <c:pt idx="554">
                    <c:v>مرکز </c:v>
                  </c:pt>
                  <c:pt idx="555">
                    <c:v>مجموع فرعی </c:v>
                  </c:pt>
                  <c:pt idx="558">
                    <c:v>احیاء و حفاظت جنگلات، تنظیم آبریزه ها زنجیره ارزش افزایی محصولات</c:v>
                  </c:pt>
                  <c:pt idx="559">
                    <c:v>تنظیم همه جانبه علفچر ها و نباتات طبی</c:v>
                  </c:pt>
                  <c:pt idx="560">
                    <c:v>احیای فارم ها و جنگل باغ ها غرض گسترش فضای سبز</c:v>
                  </c:pt>
                  <c:pt idx="561">
                    <c:v>انکشاف ایکوسیستم های طبیعی با ارزش</c:v>
                  </c:pt>
                  <c:pt idx="562">
                    <c:v>  معاش 2 نفر متخصص ،نظارت ،ارزیابی  از فعالیت های برنامه  ملی منابع طبیعی ومصارف احتمالی </c:v>
                  </c:pt>
                  <c:pt idx="566">
                    <c:v> سید امین الله فخری </c:v>
                  </c:pt>
                  <c:pt idx="567">
                    <c:v>احمد شاه امرخیل </c:v>
                  </c:pt>
                  <c:pt idx="568">
                    <c:v>غلام دستگیر سروری </c:v>
                  </c:pt>
                  <c:pt idx="569">
                    <c:v>عبدالقیوم پاینده</c:v>
                  </c:pt>
                  <c:pt idx="571">
                    <c:v>محمد امان امانیار</c:v>
                  </c:pt>
                  <c:pt idx="572">
                    <c:v>انجنیر محمد عارف حسینی</c:v>
                  </c:pt>
                  <c:pt idx="573">
                    <c:v>سید رحمن زیارمل </c:v>
                  </c:pt>
                  <c:pt idx="575">
                    <c:v>رفاع الدین امینی</c:v>
                  </c:pt>
                  <c:pt idx="576">
                    <c:v>تصدیق کننده</c:v>
                  </c:pt>
                  <c:pt idx="577">
                    <c:v>محمد رفیع قاضی زاده</c:v>
                  </c:pt>
                  <c:pt idx="578">
                    <c:v>رئیس عمومی منابع طبیعی</c:v>
                  </c:pt>
                </c:lvl>
                <c:lvl>
                  <c:pt idx="0">
                    <c:v>ضمیمه 3: پلان کاری سالانه برنامه برای سال 1397</c:v>
                  </c:pt>
                  <c:pt idx="1">
                    <c:v>الف: احیاء و حفاظت جنگلات، تنظیم آبریزه ها و زنجیره ارزش افزایی محصولات جنگل</c:v>
                  </c:pt>
                  <c:pt idx="2">
                    <c:v>ولایات</c:v>
                  </c:pt>
                  <c:pt idx="4">
                    <c:v>هرات </c:v>
                  </c:pt>
                  <c:pt idx="7">
                    <c:v>مجموع فرعی </c:v>
                  </c:pt>
                  <c:pt idx="8">
                    <c:v>ولایات</c:v>
                  </c:pt>
                  <c:pt idx="9">
                    <c:v>بادغیس </c:v>
                  </c:pt>
                  <c:pt idx="12">
                    <c:v>مجموع فرعی </c:v>
                  </c:pt>
                  <c:pt idx="13">
                    <c:v>ولایات</c:v>
                  </c:pt>
                  <c:pt idx="14">
                    <c:v>تخار </c:v>
                  </c:pt>
                  <c:pt idx="18">
                    <c:v>مجموع فرعی </c:v>
                  </c:pt>
                  <c:pt idx="19">
                    <c:v>ولایات</c:v>
                  </c:pt>
                  <c:pt idx="20">
                    <c:v>بدخشان </c:v>
                  </c:pt>
                  <c:pt idx="23">
                    <c:v>مجموع فرعی </c:v>
                  </c:pt>
                  <c:pt idx="24">
                    <c:v>ولایات</c:v>
                  </c:pt>
                  <c:pt idx="25">
                    <c:v>سمنگان </c:v>
                  </c:pt>
                  <c:pt idx="28">
                    <c:v>مجموع فرعی </c:v>
                  </c:pt>
                  <c:pt idx="29">
                    <c:v>ولایات</c:v>
                  </c:pt>
                  <c:pt idx="30">
                    <c:v>پکتیا </c:v>
                  </c:pt>
                  <c:pt idx="32">
                    <c:v>مجموع فرعی </c:v>
                  </c:pt>
                  <c:pt idx="33">
                    <c:v>ولایات</c:v>
                  </c:pt>
                  <c:pt idx="34">
                    <c:v>پکتیکا </c:v>
                  </c:pt>
                  <c:pt idx="36">
                    <c:v>مجموع فرعی </c:v>
                  </c:pt>
                  <c:pt idx="37">
                    <c:v>ولایات</c:v>
                  </c:pt>
                  <c:pt idx="38">
                    <c:v>خوست </c:v>
                  </c:pt>
                  <c:pt idx="40">
                    <c:v>مجموع فرعی </c:v>
                  </c:pt>
                  <c:pt idx="41">
                    <c:v>ولایات</c:v>
                  </c:pt>
                  <c:pt idx="42">
                    <c:v>لوگر </c:v>
                  </c:pt>
                  <c:pt idx="46">
                    <c:v>مجموع فرعی </c:v>
                  </c:pt>
                  <c:pt idx="47">
                    <c:v>ولایات</c:v>
                  </c:pt>
                  <c:pt idx="48">
                    <c:v>کنر </c:v>
                  </c:pt>
                  <c:pt idx="53">
                    <c:v>مجموع فرعی </c:v>
                  </c:pt>
                  <c:pt idx="54">
                    <c:v>ولایات</c:v>
                  </c:pt>
                  <c:pt idx="55">
                    <c:v>پنجشیر </c:v>
                  </c:pt>
                  <c:pt idx="58">
                    <c:v>مجموع فرعی </c:v>
                  </c:pt>
                  <c:pt idx="59">
                    <c:v>ولایات</c:v>
                  </c:pt>
                  <c:pt idx="60">
                    <c:v>دایکندی </c:v>
                  </c:pt>
                  <c:pt idx="63">
                    <c:v>مجموع فرعی </c:v>
                  </c:pt>
                  <c:pt idx="64">
                    <c:v>ولایات</c:v>
                  </c:pt>
                  <c:pt idx="65">
                    <c:v>مرکز </c:v>
                  </c:pt>
                  <c:pt idx="67">
                    <c:v>مجموع فرعی </c:v>
                  </c:pt>
                  <c:pt idx="68">
                    <c:v>مجموعی عمومی تنظیم جنگلات و آبریزه ها</c:v>
                  </c:pt>
                  <c:pt idx="69">
                    <c:v>ج : تنظیم همه جانبه علفچر ونباتات طبی سال 1397</c:v>
                  </c:pt>
                  <c:pt idx="70">
                    <c:v>ولایت</c:v>
                  </c:pt>
                  <c:pt idx="72">
                    <c:v>بدخشان</c:v>
                  </c:pt>
                  <c:pt idx="85">
                    <c:v>مجموع </c:v>
                  </c:pt>
                  <c:pt idx="86">
                    <c:v>ولایات</c:v>
                  </c:pt>
                  <c:pt idx="87">
                    <c:v>بلخ</c:v>
                  </c:pt>
                  <c:pt idx="113">
                    <c:v>مجموع </c:v>
                  </c:pt>
                  <c:pt idx="114">
                    <c:v>ولایات</c:v>
                  </c:pt>
                  <c:pt idx="115">
                    <c:v>بغلان</c:v>
                  </c:pt>
                  <c:pt idx="128">
                    <c:v>مجموع </c:v>
                  </c:pt>
                  <c:pt idx="129">
                    <c:v>ولایات</c:v>
                  </c:pt>
                  <c:pt idx="130">
                    <c:v>جوزجان</c:v>
                  </c:pt>
                  <c:pt idx="156">
                    <c:v>مجموع </c:v>
                  </c:pt>
                  <c:pt idx="157">
                    <c:v>ولایات</c:v>
                  </c:pt>
                  <c:pt idx="158">
                    <c:v>سمنگان</c:v>
                  </c:pt>
                  <c:pt idx="171">
                    <c:v>مجموع </c:v>
                  </c:pt>
                  <c:pt idx="172">
                    <c:v>ولایات</c:v>
                  </c:pt>
                  <c:pt idx="173">
                    <c:v>غزنی</c:v>
                  </c:pt>
                  <c:pt idx="179">
                    <c:v>مجموع </c:v>
                  </c:pt>
                  <c:pt idx="180">
                    <c:v>ولایات</c:v>
                  </c:pt>
                  <c:pt idx="181">
                    <c:v>غور</c:v>
                  </c:pt>
                  <c:pt idx="186">
                    <c:v>مجموع </c:v>
                  </c:pt>
                  <c:pt idx="187">
                    <c:v>ولایات</c:v>
                  </c:pt>
                  <c:pt idx="188">
                    <c:v>فاریاب </c:v>
                  </c:pt>
                  <c:pt idx="215">
                    <c:v>مجموع </c:v>
                  </c:pt>
                  <c:pt idx="216">
                    <c:v>ولایات</c:v>
                  </c:pt>
                  <c:pt idx="217">
                    <c:v>هرات </c:v>
                  </c:pt>
                  <c:pt idx="236">
                    <c:v>مجموع </c:v>
                  </c:pt>
                  <c:pt idx="237">
                    <c:v>ولایات</c:v>
                  </c:pt>
                  <c:pt idx="238">
                    <c:v>بادغیس</c:v>
                  </c:pt>
                  <c:pt idx="244">
                    <c:v>مجموع </c:v>
                  </c:pt>
                  <c:pt idx="245">
                    <c:v>ولایات</c:v>
                  </c:pt>
                  <c:pt idx="246">
                    <c:v>دایکندی</c:v>
                  </c:pt>
                  <c:pt idx="252">
                    <c:v>مجموع </c:v>
                  </c:pt>
                  <c:pt idx="253">
                    <c:v>ولایات</c:v>
                  </c:pt>
                  <c:pt idx="254">
                    <c:v>پنجشیر</c:v>
                  </c:pt>
                  <c:pt idx="260">
                    <c:v>مجموع </c:v>
                  </c:pt>
                  <c:pt idx="261">
                    <c:v>ولایات</c:v>
                  </c:pt>
                  <c:pt idx="262">
                    <c:v>میدان وردگ</c:v>
                  </c:pt>
                  <c:pt idx="268">
                    <c:v>مجموع </c:v>
                  </c:pt>
                  <c:pt idx="269">
                    <c:v>ولایات</c:v>
                  </c:pt>
                  <c:pt idx="270">
                    <c:v>تخار</c:v>
                  </c:pt>
                  <c:pt idx="282">
                    <c:v>مجموع </c:v>
                  </c:pt>
                  <c:pt idx="283">
                    <c:v>ولایات</c:v>
                  </c:pt>
                  <c:pt idx="284">
                    <c:v>بامیان</c:v>
                  </c:pt>
                  <c:pt idx="296">
                    <c:v>مجموع فرعی</c:v>
                  </c:pt>
                  <c:pt idx="297">
                    <c:v>مرکز </c:v>
                  </c:pt>
                  <c:pt idx="299">
                    <c:v>مجموع فرعی</c:v>
                  </c:pt>
                  <c:pt idx="300">
                    <c:v>مجموع بودجه بخش تنظیم علفچر ها و نباتات طبی</c:v>
                  </c:pt>
                  <c:pt idx="301">
                    <c:v>  ج : احیای فارم ها و جنگل باغ ها غرض گسترش فضای سبز</c:v>
                  </c:pt>
                  <c:pt idx="302">
                    <c:v>ولایات</c:v>
                  </c:pt>
                  <c:pt idx="303">
                    <c:v>کابل </c:v>
                  </c:pt>
                  <c:pt idx="310">
                    <c:v>مجموعی فرعی</c:v>
                  </c:pt>
                  <c:pt idx="311">
                    <c:v>پروان </c:v>
                  </c:pt>
                  <c:pt idx="318">
                    <c:v>مجموعی فرعی</c:v>
                  </c:pt>
                  <c:pt idx="319">
                    <c:v>کاپیسا</c:v>
                  </c:pt>
                  <c:pt idx="326">
                    <c:v>مجموعی فرعی</c:v>
                  </c:pt>
                  <c:pt idx="327">
                    <c:v>میدان وردک</c:v>
                  </c:pt>
                  <c:pt idx="333">
                    <c:v>مجموعی فرعی</c:v>
                  </c:pt>
                  <c:pt idx="334">
                    <c:v>پنجشیر</c:v>
                  </c:pt>
                  <c:pt idx="341">
                    <c:v>مجموعی فرعی</c:v>
                  </c:pt>
                  <c:pt idx="342">
                    <c:v>بامیان</c:v>
                  </c:pt>
                  <c:pt idx="347">
                    <c:v>مجموعی فرعی</c:v>
                  </c:pt>
                  <c:pt idx="348">
                    <c:v>بلخ</c:v>
                  </c:pt>
                  <c:pt idx="356">
                    <c:v>مجموعی فرعی</c:v>
                  </c:pt>
                  <c:pt idx="357">
                    <c:v>فاریاب </c:v>
                  </c:pt>
                  <c:pt idx="364">
                    <c:v>مجموعی فرعی</c:v>
                  </c:pt>
                  <c:pt idx="365">
                    <c:v>جوزجان</c:v>
                  </c:pt>
                  <c:pt idx="372">
                    <c:v>مجموعی فرعی</c:v>
                  </c:pt>
                  <c:pt idx="373">
                    <c:v>سمنگان</c:v>
                  </c:pt>
                  <c:pt idx="381">
                    <c:v>مجموعی فرعی</c:v>
                  </c:pt>
                  <c:pt idx="382">
                    <c:v>سرپل</c:v>
                  </c:pt>
                  <c:pt idx="389">
                    <c:v>مجموعی فرعی</c:v>
                  </c:pt>
                  <c:pt idx="390">
                    <c:v>پکتیا</c:v>
                  </c:pt>
                  <c:pt idx="397">
                    <c:v>مجموعی فرعی</c:v>
                  </c:pt>
                  <c:pt idx="398">
                    <c:v>غزنی</c:v>
                  </c:pt>
                  <c:pt idx="407">
                    <c:v>مجموعی فرعی</c:v>
                  </c:pt>
                  <c:pt idx="408">
                    <c:v>پکتیکا</c:v>
                  </c:pt>
                  <c:pt idx="415">
                    <c:v>مجموعی فرعی</c:v>
                  </c:pt>
                  <c:pt idx="416">
                    <c:v>خوست </c:v>
                  </c:pt>
                  <c:pt idx="422">
                    <c:v>مجموعی فرعی</c:v>
                  </c:pt>
                  <c:pt idx="423">
                    <c:v>ننگرهار</c:v>
                  </c:pt>
                  <c:pt idx="438">
                    <c:v>مجموعی فرعی</c:v>
                  </c:pt>
                  <c:pt idx="439">
                    <c:v>لغمان </c:v>
                  </c:pt>
                  <c:pt idx="446">
                    <c:v>مجموعی فرعی</c:v>
                  </c:pt>
                  <c:pt idx="447">
                    <c:v>کنر</c:v>
                  </c:pt>
                  <c:pt idx="455">
                    <c:v>مجموعی فرعی</c:v>
                  </c:pt>
                  <c:pt idx="456">
                    <c:v>هرات</c:v>
                  </c:pt>
                  <c:pt idx="463">
                    <c:v>مجموعی فرعی</c:v>
                  </c:pt>
                  <c:pt idx="464">
                    <c:v>فراه</c:v>
                  </c:pt>
                  <c:pt idx="472">
                    <c:v>مجموعی فرعی</c:v>
                  </c:pt>
                  <c:pt idx="473">
                    <c:v>غور </c:v>
                  </c:pt>
                  <c:pt idx="480">
                    <c:v>مجموعی فرعی</c:v>
                  </c:pt>
                  <c:pt idx="481">
                    <c:v>بادغیس </c:v>
                  </c:pt>
                  <c:pt idx="488">
                    <c:v>مجموعی فرعی</c:v>
                  </c:pt>
                  <c:pt idx="489">
                    <c:v>بدخشان </c:v>
                  </c:pt>
                  <c:pt idx="496">
                    <c:v>مجموعی فرعی</c:v>
                  </c:pt>
                  <c:pt idx="497">
                    <c:v>بغلان </c:v>
                  </c:pt>
                  <c:pt idx="504">
                    <c:v>مجموعی فرعی</c:v>
                  </c:pt>
                  <c:pt idx="505">
                    <c:v>تخار</c:v>
                  </c:pt>
                  <c:pt idx="512">
                    <c:v>مجموعی فرعی</c:v>
                  </c:pt>
                  <c:pt idx="513">
                    <c:v>کند هار</c:v>
                  </c:pt>
                  <c:pt idx="519">
                    <c:v>مجموعی فرعی</c:v>
                  </c:pt>
                  <c:pt idx="520">
                    <c:v>هلمند</c:v>
                  </c:pt>
                  <c:pt idx="527">
                    <c:v>مجموعی فرعی</c:v>
                  </c:pt>
                  <c:pt idx="528">
                    <c:v>دایکندی</c:v>
                  </c:pt>
                  <c:pt idx="535">
                    <c:v>مجموعی فرعی</c:v>
                  </c:pt>
                  <c:pt idx="536">
                    <c:v>مجموع بودجه بخش احیای فارم ها و تولید نها</c:v>
                  </c:pt>
                  <c:pt idx="537">
                    <c:v>د :انکشاف ایکوسیستم های با ارزش طبیعی </c:v>
                  </c:pt>
                  <c:pt idx="538">
                    <c:v>ولایات</c:v>
                  </c:pt>
                  <c:pt idx="539">
                    <c:v>بامیان</c:v>
                  </c:pt>
                  <c:pt idx="543">
                    <c:v>مجموع فرعی</c:v>
                  </c:pt>
                  <c:pt idx="544">
                    <c:v>ولایات</c:v>
                  </c:pt>
                  <c:pt idx="545">
                    <c:v>بدخشان</c:v>
                  </c:pt>
                  <c:pt idx="547">
                    <c:v>مجموع فرعی</c:v>
                  </c:pt>
                  <c:pt idx="548">
                    <c:v>ولایات</c:v>
                  </c:pt>
                  <c:pt idx="549">
                    <c:v>کابل </c:v>
                  </c:pt>
                  <c:pt idx="550">
                    <c:v>مجموع فرعی</c:v>
                  </c:pt>
                  <c:pt idx="551">
                    <c:v>مجموع بودجه اکوسیستم های بار ارزش طبیعی </c:v>
                  </c:pt>
                  <c:pt idx="552">
                    <c:v>مصارف متفرقه در مرکز وزارت</c:v>
                  </c:pt>
                  <c:pt idx="553">
                    <c:v>مرکز </c:v>
                  </c:pt>
                  <c:pt idx="554">
                    <c:v>مرکز </c:v>
                  </c:pt>
                  <c:pt idx="555">
                    <c:v>مجموع فرعی</c:v>
                  </c:pt>
                  <c:pt idx="556">
                    <c:v>پلان کاری توحیدی سالانه برنامه ملی تنظیم منابع طبیعی  برای سال 1397</c:v>
                  </c:pt>
                  <c:pt idx="557">
                    <c:v>مقصد مشخص</c:v>
                  </c:pt>
                  <c:pt idx="558">
                    <c:v>الف</c:v>
                  </c:pt>
                  <c:pt idx="559">
                    <c:v>ب</c:v>
                  </c:pt>
                  <c:pt idx="560">
                    <c:v>ج </c:v>
                  </c:pt>
                  <c:pt idx="561">
                    <c:v>د</c:v>
                  </c:pt>
                  <c:pt idx="562">
                    <c:v>مصارف متفرقه</c:v>
                  </c:pt>
                  <c:pt idx="563">
                    <c:v>مجموع عمومی برنامه در سال 1397 به افغانی</c:v>
                  </c:pt>
                  <c:pt idx="564">
                    <c:v>ترتیب کنند گان</c:v>
                  </c:pt>
                  <c:pt idx="565">
                    <c:v>اسم </c:v>
                  </c:pt>
                  <c:pt idx="570">
                    <c:v>                  مرور و چک کننده گان </c:v>
                  </c:pt>
                  <c:pt idx="574">
                    <c:v>                  توحید کننده:</c:v>
                  </c:pt>
                </c:lvl>
              </c:multiLvlStrCache>
            </c:multiLvlStrRef>
          </c:cat>
          <c:val>
            <c:numRef>
              <c:f>'پلان گاری سالانه با نواقص'!$M$1:$M$579</c:f>
              <c:numCache>
                <c:formatCode>General</c:formatCode>
                <c:ptCount val="579"/>
                <c:pt idx="2">
                  <c:v>0</c:v>
                </c:pt>
                <c:pt idx="4">
                  <c:v>0</c:v>
                </c:pt>
                <c:pt idx="5">
                  <c:v>0</c:v>
                </c:pt>
                <c:pt idx="6">
                  <c:v>0</c:v>
                </c:pt>
                <c:pt idx="8">
                  <c:v>0</c:v>
                </c:pt>
                <c:pt idx="9">
                  <c:v>0</c:v>
                </c:pt>
                <c:pt idx="10">
                  <c:v>0</c:v>
                </c:pt>
                <c:pt idx="11">
                  <c:v>0</c:v>
                </c:pt>
                <c:pt idx="13">
                  <c:v>0</c:v>
                </c:pt>
                <c:pt idx="14">
                  <c:v>0</c:v>
                </c:pt>
                <c:pt idx="15">
                  <c:v>0</c:v>
                </c:pt>
                <c:pt idx="16">
                  <c:v>0</c:v>
                </c:pt>
                <c:pt idx="17">
                  <c:v>0</c:v>
                </c:pt>
                <c:pt idx="19">
                  <c:v>0</c:v>
                </c:pt>
                <c:pt idx="20">
                  <c:v>0</c:v>
                </c:pt>
                <c:pt idx="21">
                  <c:v>0</c:v>
                </c:pt>
                <c:pt idx="22">
                  <c:v>0</c:v>
                </c:pt>
                <c:pt idx="24">
                  <c:v>0</c:v>
                </c:pt>
                <c:pt idx="25">
                  <c:v>0</c:v>
                </c:pt>
                <c:pt idx="26">
                  <c:v>0</c:v>
                </c:pt>
                <c:pt idx="27">
                  <c:v>0</c:v>
                </c:pt>
                <c:pt idx="29">
                  <c:v>0</c:v>
                </c:pt>
                <c:pt idx="30">
                  <c:v>0</c:v>
                </c:pt>
                <c:pt idx="31">
                  <c:v>0</c:v>
                </c:pt>
                <c:pt idx="33">
                  <c:v>0</c:v>
                </c:pt>
                <c:pt idx="34">
                  <c:v>0</c:v>
                </c:pt>
                <c:pt idx="35">
                  <c:v>0</c:v>
                </c:pt>
                <c:pt idx="37">
                  <c:v>0</c:v>
                </c:pt>
                <c:pt idx="38">
                  <c:v>0</c:v>
                </c:pt>
                <c:pt idx="39">
                  <c:v>0</c:v>
                </c:pt>
                <c:pt idx="41">
                  <c:v>0</c:v>
                </c:pt>
                <c:pt idx="42">
                  <c:v>0</c:v>
                </c:pt>
                <c:pt idx="43">
                  <c:v>0</c:v>
                </c:pt>
                <c:pt idx="44">
                  <c:v>0</c:v>
                </c:pt>
                <c:pt idx="47">
                  <c:v>0</c:v>
                </c:pt>
                <c:pt idx="48">
                  <c:v>0</c:v>
                </c:pt>
                <c:pt idx="49">
                  <c:v>0</c:v>
                </c:pt>
                <c:pt idx="50">
                  <c:v>0</c:v>
                </c:pt>
                <c:pt idx="51">
                  <c:v>0</c:v>
                </c:pt>
                <c:pt idx="52">
                  <c:v>0</c:v>
                </c:pt>
                <c:pt idx="54">
                  <c:v>0</c:v>
                </c:pt>
                <c:pt idx="55">
                  <c:v>0</c:v>
                </c:pt>
                <c:pt idx="56">
                  <c:v>0</c:v>
                </c:pt>
                <c:pt idx="59">
                  <c:v>0</c:v>
                </c:pt>
                <c:pt idx="60">
                  <c:v>0</c:v>
                </c:pt>
                <c:pt idx="61">
                  <c:v>0</c:v>
                </c:pt>
                <c:pt idx="64">
                  <c:v>0</c:v>
                </c:pt>
                <c:pt idx="65">
                  <c:v>0</c:v>
                </c:pt>
                <c:pt idx="68" formatCode="_(* #,##0_);_(* \(#,##0\);_(* &quot;-&quot;??_);_(@_)">
                  <c:v>0</c:v>
                </c:pt>
                <c:pt idx="70">
                  <c:v>0</c:v>
                </c:pt>
                <c:pt idx="72" formatCode="0.00">
                  <c:v>0</c:v>
                </c:pt>
                <c:pt idx="73" formatCode="0.00">
                  <c:v>0</c:v>
                </c:pt>
                <c:pt idx="76" formatCode="0.00">
                  <c:v>0</c:v>
                </c:pt>
                <c:pt idx="77" formatCode="0.00">
                  <c:v>0</c:v>
                </c:pt>
                <c:pt idx="79" formatCode="0.00">
                  <c:v>0</c:v>
                </c:pt>
                <c:pt idx="80" formatCode="0.00">
                  <c:v>0</c:v>
                </c:pt>
                <c:pt idx="86">
                  <c:v>0</c:v>
                </c:pt>
                <c:pt idx="88" formatCode="0.00">
                  <c:v>0</c:v>
                </c:pt>
                <c:pt idx="89" formatCode="0.00">
                  <c:v>0</c:v>
                </c:pt>
                <c:pt idx="90" formatCode="0.00">
                  <c:v>0</c:v>
                </c:pt>
                <c:pt idx="91" formatCode="0.00">
                  <c:v>0</c:v>
                </c:pt>
                <c:pt idx="92" formatCode="0.00">
                  <c:v>0</c:v>
                </c:pt>
                <c:pt idx="93" formatCode="0.00">
                  <c:v>0</c:v>
                </c:pt>
                <c:pt idx="94" formatCode="0.00">
                  <c:v>0</c:v>
                </c:pt>
                <c:pt idx="95" formatCode="0.00">
                  <c:v>0</c:v>
                </c:pt>
                <c:pt idx="96" formatCode="0.00">
                  <c:v>0</c:v>
                </c:pt>
                <c:pt idx="97" formatCode="0.00">
                  <c:v>0</c:v>
                </c:pt>
                <c:pt idx="98" formatCode="0.00">
                  <c:v>0</c:v>
                </c:pt>
                <c:pt idx="99" formatCode="0.00">
                  <c:v>0</c:v>
                </c:pt>
                <c:pt idx="100" formatCode="0.00">
                  <c:v>0</c:v>
                </c:pt>
                <c:pt idx="101" formatCode="0.00">
                  <c:v>0</c:v>
                </c:pt>
                <c:pt idx="102" formatCode="0.00">
                  <c:v>0</c:v>
                </c:pt>
                <c:pt idx="103" formatCode="0.00">
                  <c:v>0</c:v>
                </c:pt>
                <c:pt idx="104" formatCode="0.00">
                  <c:v>0</c:v>
                </c:pt>
                <c:pt idx="106" formatCode="0.00">
                  <c:v>0</c:v>
                </c:pt>
                <c:pt idx="114">
                  <c:v>0</c:v>
                </c:pt>
                <c:pt idx="117" formatCode="0.00">
                  <c:v>0</c:v>
                </c:pt>
                <c:pt idx="118" formatCode="0.00">
                  <c:v>0</c:v>
                </c:pt>
                <c:pt idx="119" formatCode="0.00">
                  <c:v>0</c:v>
                </c:pt>
                <c:pt idx="120" formatCode="0.00">
                  <c:v>0</c:v>
                </c:pt>
                <c:pt idx="121" formatCode="0.00">
                  <c:v>0</c:v>
                </c:pt>
                <c:pt idx="122" formatCode="0.00">
                  <c:v>0</c:v>
                </c:pt>
                <c:pt idx="123" formatCode="0.00">
                  <c:v>0</c:v>
                </c:pt>
                <c:pt idx="129">
                  <c:v>0</c:v>
                </c:pt>
                <c:pt idx="130">
                  <c:v>0</c:v>
                </c:pt>
                <c:pt idx="131" formatCode="0.00">
                  <c:v>0</c:v>
                </c:pt>
                <c:pt idx="132" formatCode="0.00">
                  <c:v>0</c:v>
                </c:pt>
                <c:pt idx="133" formatCode="0.00">
                  <c:v>0</c:v>
                </c:pt>
                <c:pt idx="134" formatCode="0.00">
                  <c:v>0</c:v>
                </c:pt>
                <c:pt idx="135" formatCode="0.00">
                  <c:v>0</c:v>
                </c:pt>
                <c:pt idx="136" formatCode="0.00">
                  <c:v>0</c:v>
                </c:pt>
                <c:pt idx="137" formatCode="0.00">
                  <c:v>0</c:v>
                </c:pt>
                <c:pt idx="138" formatCode="0.00">
                  <c:v>0</c:v>
                </c:pt>
                <c:pt idx="139" formatCode="0.00">
                  <c:v>0</c:v>
                </c:pt>
                <c:pt idx="140" formatCode="0.00">
                  <c:v>0</c:v>
                </c:pt>
                <c:pt idx="141" formatCode="0.00">
                  <c:v>0</c:v>
                </c:pt>
                <c:pt idx="142" formatCode="0.00">
                  <c:v>0</c:v>
                </c:pt>
                <c:pt idx="143" formatCode="0.00">
                  <c:v>0</c:v>
                </c:pt>
                <c:pt idx="144">
                  <c:v>0</c:v>
                </c:pt>
                <c:pt idx="145">
                  <c:v>0</c:v>
                </c:pt>
                <c:pt idx="147" formatCode="0.00">
                  <c:v>0</c:v>
                </c:pt>
                <c:pt idx="148" formatCode="0.00">
                  <c:v>0</c:v>
                </c:pt>
                <c:pt idx="149" formatCode="0.00">
                  <c:v>0</c:v>
                </c:pt>
                <c:pt idx="157">
                  <c:v>0</c:v>
                </c:pt>
                <c:pt idx="159">
                  <c:v>0</c:v>
                </c:pt>
                <c:pt idx="160" formatCode="0.00">
                  <c:v>0</c:v>
                </c:pt>
                <c:pt idx="161">
                  <c:v>0</c:v>
                </c:pt>
                <c:pt idx="162">
                  <c:v>0</c:v>
                </c:pt>
                <c:pt idx="163">
                  <c:v>0</c:v>
                </c:pt>
                <c:pt idx="165">
                  <c:v>0</c:v>
                </c:pt>
                <c:pt idx="166">
                  <c:v>0</c:v>
                </c:pt>
                <c:pt idx="167">
                  <c:v>0</c:v>
                </c:pt>
                <c:pt idx="168">
                  <c:v>0</c:v>
                </c:pt>
                <c:pt idx="169">
                  <c:v>0</c:v>
                </c:pt>
                <c:pt idx="170">
                  <c:v>0</c:v>
                </c:pt>
                <c:pt idx="172">
                  <c:v>0</c:v>
                </c:pt>
                <c:pt idx="173">
                  <c:v>0</c:v>
                </c:pt>
                <c:pt idx="175">
                  <c:v>0</c:v>
                </c:pt>
                <c:pt idx="176">
                  <c:v>0</c:v>
                </c:pt>
                <c:pt idx="177">
                  <c:v>0</c:v>
                </c:pt>
                <c:pt idx="180">
                  <c:v>0</c:v>
                </c:pt>
                <c:pt idx="181" formatCode="0">
                  <c:v>0</c:v>
                </c:pt>
                <c:pt idx="182">
                  <c:v>0</c:v>
                </c:pt>
                <c:pt idx="183">
                  <c:v>0</c:v>
                </c:pt>
                <c:pt idx="184">
                  <c:v>0</c:v>
                </c:pt>
                <c:pt idx="187">
                  <c:v>0</c:v>
                </c:pt>
                <c:pt idx="188">
                  <c:v>0</c:v>
                </c:pt>
                <c:pt idx="189">
                  <c:v>0</c:v>
                </c:pt>
                <c:pt idx="190">
                  <c:v>0</c:v>
                </c:pt>
                <c:pt idx="191">
                  <c:v>0</c:v>
                </c:pt>
                <c:pt idx="192" formatCode="0.00">
                  <c:v>0</c:v>
                </c:pt>
                <c:pt idx="193" formatCode="0.00">
                  <c:v>0</c:v>
                </c:pt>
                <c:pt idx="194" formatCode="0.00">
                  <c:v>0</c:v>
                </c:pt>
                <c:pt idx="195" formatCode="0.00">
                  <c:v>0</c:v>
                </c:pt>
                <c:pt idx="196" formatCode="0.00">
                  <c:v>0</c:v>
                </c:pt>
                <c:pt idx="197" formatCode="0.00">
                  <c:v>0</c:v>
                </c:pt>
                <c:pt idx="198" formatCode="0.00">
                  <c:v>0</c:v>
                </c:pt>
                <c:pt idx="199" formatCode="0.00">
                  <c:v>0</c:v>
                </c:pt>
                <c:pt idx="200" formatCode="0.00">
                  <c:v>0</c:v>
                </c:pt>
                <c:pt idx="201" formatCode="0.00">
                  <c:v>0</c:v>
                </c:pt>
                <c:pt idx="202" formatCode="0.00">
                  <c:v>0</c:v>
                </c:pt>
                <c:pt idx="203" formatCode="0.00">
                  <c:v>0</c:v>
                </c:pt>
                <c:pt idx="204" formatCode="0.00">
                  <c:v>0</c:v>
                </c:pt>
                <c:pt idx="205" formatCode="0.00">
                  <c:v>0</c:v>
                </c:pt>
                <c:pt idx="206">
                  <c:v>0</c:v>
                </c:pt>
                <c:pt idx="207" formatCode="0.00">
                  <c:v>0</c:v>
                </c:pt>
                <c:pt idx="208" formatCode="0.00">
                  <c:v>0</c:v>
                </c:pt>
                <c:pt idx="209" formatCode="0.00">
                  <c:v>0</c:v>
                </c:pt>
                <c:pt idx="210" formatCode="0.00">
                  <c:v>0</c:v>
                </c:pt>
                <c:pt idx="211" formatCode="0.00">
                  <c:v>0</c:v>
                </c:pt>
                <c:pt idx="212" formatCode="0.00">
                  <c:v>0</c:v>
                </c:pt>
                <c:pt idx="213" formatCode="0.00">
                  <c:v>0</c:v>
                </c:pt>
                <c:pt idx="214" formatCode="0.00">
                  <c:v>0</c:v>
                </c:pt>
                <c:pt idx="216">
                  <c:v>0</c:v>
                </c:pt>
                <c:pt idx="217" formatCode="0.00">
                  <c:v>0</c:v>
                </c:pt>
                <c:pt idx="218" formatCode="0.00">
                  <c:v>0</c:v>
                </c:pt>
                <c:pt idx="219" formatCode="0.00">
                  <c:v>0</c:v>
                </c:pt>
                <c:pt idx="220" formatCode="0.00">
                  <c:v>0</c:v>
                </c:pt>
                <c:pt idx="221" formatCode="0.00">
                  <c:v>0</c:v>
                </c:pt>
                <c:pt idx="222" formatCode="0.00">
                  <c:v>0</c:v>
                </c:pt>
                <c:pt idx="223" formatCode="0.00">
                  <c:v>0</c:v>
                </c:pt>
                <c:pt idx="224" formatCode="0.00">
                  <c:v>0</c:v>
                </c:pt>
                <c:pt idx="225" formatCode="0.00">
                  <c:v>0</c:v>
                </c:pt>
                <c:pt idx="226" formatCode="0.00">
                  <c:v>0</c:v>
                </c:pt>
                <c:pt idx="227" formatCode="0.00">
                  <c:v>0</c:v>
                </c:pt>
                <c:pt idx="228" formatCode="0.00">
                  <c:v>0</c:v>
                </c:pt>
                <c:pt idx="229" formatCode="0.00">
                  <c:v>0</c:v>
                </c:pt>
                <c:pt idx="230" formatCode="0.00">
                  <c:v>0</c:v>
                </c:pt>
                <c:pt idx="231" formatCode="0.00">
                  <c:v>0</c:v>
                </c:pt>
                <c:pt idx="232">
                  <c:v>0</c:v>
                </c:pt>
                <c:pt idx="233">
                  <c:v>0</c:v>
                </c:pt>
                <c:pt idx="234" formatCode="0.00">
                  <c:v>0</c:v>
                </c:pt>
                <c:pt idx="237">
                  <c:v>0</c:v>
                </c:pt>
                <c:pt idx="238" formatCode="0.00">
                  <c:v>0</c:v>
                </c:pt>
                <c:pt idx="239" formatCode="0.00">
                  <c:v>0</c:v>
                </c:pt>
                <c:pt idx="240" formatCode="0.00">
                  <c:v>0</c:v>
                </c:pt>
                <c:pt idx="241" formatCode="0.00">
                  <c:v>0</c:v>
                </c:pt>
                <c:pt idx="242" formatCode="0.00">
                  <c:v>0</c:v>
                </c:pt>
                <c:pt idx="243" formatCode="0.00">
                  <c:v>0</c:v>
                </c:pt>
                <c:pt idx="245">
                  <c:v>0</c:v>
                </c:pt>
                <c:pt idx="246" formatCode="0.00">
                  <c:v>0</c:v>
                </c:pt>
                <c:pt idx="247" formatCode="0.00">
                  <c:v>0</c:v>
                </c:pt>
                <c:pt idx="248" formatCode="0.00">
                  <c:v>0</c:v>
                </c:pt>
                <c:pt idx="249" formatCode="0.00">
                  <c:v>0</c:v>
                </c:pt>
                <c:pt idx="250" formatCode="0.00">
                  <c:v>0</c:v>
                </c:pt>
                <c:pt idx="251" formatCode="0.00">
                  <c:v>0</c:v>
                </c:pt>
                <c:pt idx="253">
                  <c:v>0</c:v>
                </c:pt>
                <c:pt idx="254" formatCode="0.00">
                  <c:v>0</c:v>
                </c:pt>
                <c:pt idx="255" formatCode="0.00">
                  <c:v>0</c:v>
                </c:pt>
                <c:pt idx="256" formatCode="0.00">
                  <c:v>0</c:v>
                </c:pt>
                <c:pt idx="257" formatCode="0.00">
                  <c:v>0</c:v>
                </c:pt>
                <c:pt idx="258" formatCode="0.00">
                  <c:v>0</c:v>
                </c:pt>
                <c:pt idx="259" formatCode="0.00">
                  <c:v>0</c:v>
                </c:pt>
                <c:pt idx="261">
                  <c:v>0</c:v>
                </c:pt>
                <c:pt idx="262" formatCode="0.00">
                  <c:v>0</c:v>
                </c:pt>
                <c:pt idx="263" formatCode="0.00">
                  <c:v>0</c:v>
                </c:pt>
                <c:pt idx="264" formatCode="0.00">
                  <c:v>0</c:v>
                </c:pt>
                <c:pt idx="265" formatCode="0.00">
                  <c:v>0</c:v>
                </c:pt>
                <c:pt idx="266" formatCode="0.00">
                  <c:v>0</c:v>
                </c:pt>
                <c:pt idx="267" formatCode="0.00">
                  <c:v>0</c:v>
                </c:pt>
                <c:pt idx="269">
                  <c:v>0</c:v>
                </c:pt>
                <c:pt idx="270" formatCode="0.00">
                  <c:v>0</c:v>
                </c:pt>
                <c:pt idx="271" formatCode="0.00">
                  <c:v>0</c:v>
                </c:pt>
                <c:pt idx="272" formatCode="0.00">
                  <c:v>0</c:v>
                </c:pt>
                <c:pt idx="273" formatCode="0.00">
                  <c:v>0</c:v>
                </c:pt>
                <c:pt idx="274" formatCode="0.00">
                  <c:v>0</c:v>
                </c:pt>
                <c:pt idx="275" formatCode="0.00">
                  <c:v>0</c:v>
                </c:pt>
                <c:pt idx="276">
                  <c:v>0</c:v>
                </c:pt>
                <c:pt idx="277">
                  <c:v>0</c:v>
                </c:pt>
                <c:pt idx="278">
                  <c:v>0</c:v>
                </c:pt>
                <c:pt idx="279">
                  <c:v>0</c:v>
                </c:pt>
                <c:pt idx="280">
                  <c:v>0</c:v>
                </c:pt>
                <c:pt idx="281">
                  <c:v>0</c:v>
                </c:pt>
                <c:pt idx="283">
                  <c:v>0</c:v>
                </c:pt>
                <c:pt idx="286" formatCode="0.00">
                  <c:v>0</c:v>
                </c:pt>
                <c:pt idx="287" formatCode="0.00">
                  <c:v>0</c:v>
                </c:pt>
                <c:pt idx="288" formatCode="0.00">
                  <c:v>0</c:v>
                </c:pt>
                <c:pt idx="289" formatCode="0.00">
                  <c:v>0</c:v>
                </c:pt>
                <c:pt idx="290">
                  <c:v>0</c:v>
                </c:pt>
                <c:pt idx="291">
                  <c:v>0</c:v>
                </c:pt>
                <c:pt idx="292">
                  <c:v>0</c:v>
                </c:pt>
                <c:pt idx="293">
                  <c:v>0</c:v>
                </c:pt>
                <c:pt idx="294">
                  <c:v>0</c:v>
                </c:pt>
                <c:pt idx="295">
                  <c:v>0</c:v>
                </c:pt>
                <c:pt idx="299" formatCode="_(* #,##0_);_(* \(#,##0\);_(* &quot;-&quot;??_);_(@_)">
                  <c:v>0</c:v>
                </c:pt>
                <c:pt idx="300" formatCode="_(* #,##0_);_(* \(#,##0\);_(* &quot;-&quot;??_);_(@_)">
                  <c:v>0</c:v>
                </c:pt>
                <c:pt idx="302">
                  <c:v>0</c:v>
                </c:pt>
                <c:pt idx="303" formatCode="0">
                  <c:v>0</c:v>
                </c:pt>
                <c:pt idx="304" formatCode="0">
                  <c:v>0</c:v>
                </c:pt>
                <c:pt idx="305" formatCode="0">
                  <c:v>0</c:v>
                </c:pt>
                <c:pt idx="306" formatCode="0">
                  <c:v>0</c:v>
                </c:pt>
                <c:pt idx="307" formatCode="0">
                  <c:v>0</c:v>
                </c:pt>
                <c:pt idx="308" formatCode="0">
                  <c:v>0</c:v>
                </c:pt>
                <c:pt idx="309" formatCode="0">
                  <c:v>0</c:v>
                </c:pt>
                <c:pt idx="311" formatCode="0">
                  <c:v>0</c:v>
                </c:pt>
                <c:pt idx="312" formatCode="0">
                  <c:v>0</c:v>
                </c:pt>
                <c:pt idx="313" formatCode="0">
                  <c:v>0</c:v>
                </c:pt>
                <c:pt idx="314" formatCode="0">
                  <c:v>0</c:v>
                </c:pt>
                <c:pt idx="315" formatCode="0">
                  <c:v>0</c:v>
                </c:pt>
                <c:pt idx="316" formatCode="0">
                  <c:v>0</c:v>
                </c:pt>
                <c:pt idx="317" formatCode="0">
                  <c:v>0</c:v>
                </c:pt>
                <c:pt idx="319" formatCode="0">
                  <c:v>0</c:v>
                </c:pt>
                <c:pt idx="320" formatCode="0">
                  <c:v>0</c:v>
                </c:pt>
                <c:pt idx="321" formatCode="0">
                  <c:v>0</c:v>
                </c:pt>
                <c:pt idx="322" formatCode="0">
                  <c:v>0</c:v>
                </c:pt>
                <c:pt idx="323" formatCode="0">
                  <c:v>0</c:v>
                </c:pt>
                <c:pt idx="324" formatCode="0">
                  <c:v>0</c:v>
                </c:pt>
                <c:pt idx="325" formatCode="0">
                  <c:v>0</c:v>
                </c:pt>
                <c:pt idx="327" formatCode="0">
                  <c:v>0</c:v>
                </c:pt>
                <c:pt idx="328" formatCode="0">
                  <c:v>0</c:v>
                </c:pt>
                <c:pt idx="329" formatCode="0">
                  <c:v>0</c:v>
                </c:pt>
                <c:pt idx="330" formatCode="0">
                  <c:v>0</c:v>
                </c:pt>
                <c:pt idx="331" formatCode="0">
                  <c:v>0</c:v>
                </c:pt>
                <c:pt idx="332" formatCode="0">
                  <c:v>0</c:v>
                </c:pt>
                <c:pt idx="334" formatCode="0">
                  <c:v>0</c:v>
                </c:pt>
                <c:pt idx="335" formatCode="0">
                  <c:v>0</c:v>
                </c:pt>
                <c:pt idx="336" formatCode="0">
                  <c:v>0</c:v>
                </c:pt>
                <c:pt idx="337" formatCode="0">
                  <c:v>0</c:v>
                </c:pt>
                <c:pt idx="338" formatCode="0">
                  <c:v>0</c:v>
                </c:pt>
                <c:pt idx="339" formatCode="0">
                  <c:v>0</c:v>
                </c:pt>
                <c:pt idx="340" formatCode="0">
                  <c:v>0</c:v>
                </c:pt>
                <c:pt idx="342">
                  <c:v>0</c:v>
                </c:pt>
                <c:pt idx="343">
                  <c:v>0</c:v>
                </c:pt>
                <c:pt idx="344">
                  <c:v>0</c:v>
                </c:pt>
                <c:pt idx="345">
                  <c:v>0</c:v>
                </c:pt>
                <c:pt idx="346" formatCode="0">
                  <c:v>0</c:v>
                </c:pt>
                <c:pt idx="348">
                  <c:v>0</c:v>
                </c:pt>
                <c:pt idx="349">
                  <c:v>0</c:v>
                </c:pt>
                <c:pt idx="350">
                  <c:v>0</c:v>
                </c:pt>
                <c:pt idx="351">
                  <c:v>0</c:v>
                </c:pt>
                <c:pt idx="352">
                  <c:v>0</c:v>
                </c:pt>
                <c:pt idx="353">
                  <c:v>0</c:v>
                </c:pt>
                <c:pt idx="354">
                  <c:v>0</c:v>
                </c:pt>
                <c:pt idx="355" formatCode="0">
                  <c:v>0</c:v>
                </c:pt>
                <c:pt idx="357" formatCode="0">
                  <c:v>0</c:v>
                </c:pt>
                <c:pt idx="358" formatCode="0">
                  <c:v>0</c:v>
                </c:pt>
                <c:pt idx="359" formatCode="0">
                  <c:v>0</c:v>
                </c:pt>
                <c:pt idx="360" formatCode="0">
                  <c:v>0</c:v>
                </c:pt>
                <c:pt idx="361" formatCode="0">
                  <c:v>0</c:v>
                </c:pt>
                <c:pt idx="362" formatCode="0">
                  <c:v>0</c:v>
                </c:pt>
                <c:pt idx="363" formatCode="0">
                  <c:v>0</c:v>
                </c:pt>
                <c:pt idx="365" formatCode="0">
                  <c:v>0</c:v>
                </c:pt>
                <c:pt idx="366" formatCode="0">
                  <c:v>0</c:v>
                </c:pt>
                <c:pt idx="367" formatCode="0">
                  <c:v>0</c:v>
                </c:pt>
                <c:pt idx="368" formatCode="0">
                  <c:v>0</c:v>
                </c:pt>
                <c:pt idx="369" formatCode="0">
                  <c:v>0</c:v>
                </c:pt>
                <c:pt idx="370" formatCode="0">
                  <c:v>0</c:v>
                </c:pt>
                <c:pt idx="371" formatCode="0">
                  <c:v>0</c:v>
                </c:pt>
                <c:pt idx="373" formatCode="0">
                  <c:v>0</c:v>
                </c:pt>
                <c:pt idx="374" formatCode="0">
                  <c:v>0</c:v>
                </c:pt>
                <c:pt idx="375" formatCode="0">
                  <c:v>0</c:v>
                </c:pt>
                <c:pt idx="376" formatCode="0">
                  <c:v>0</c:v>
                </c:pt>
                <c:pt idx="377" formatCode="0">
                  <c:v>0</c:v>
                </c:pt>
                <c:pt idx="378" formatCode="0">
                  <c:v>0</c:v>
                </c:pt>
                <c:pt idx="379" formatCode="0">
                  <c:v>0</c:v>
                </c:pt>
                <c:pt idx="380" formatCode="0">
                  <c:v>0</c:v>
                </c:pt>
                <c:pt idx="382" formatCode="0">
                  <c:v>0</c:v>
                </c:pt>
                <c:pt idx="383" formatCode="0">
                  <c:v>0</c:v>
                </c:pt>
                <c:pt idx="384" formatCode="0">
                  <c:v>0</c:v>
                </c:pt>
                <c:pt idx="385" formatCode="0">
                  <c:v>0</c:v>
                </c:pt>
                <c:pt idx="386" formatCode="0">
                  <c:v>0</c:v>
                </c:pt>
                <c:pt idx="387" formatCode="0">
                  <c:v>0</c:v>
                </c:pt>
                <c:pt idx="388" formatCode="0">
                  <c:v>0</c:v>
                </c:pt>
                <c:pt idx="390" formatCode="0">
                  <c:v>0</c:v>
                </c:pt>
                <c:pt idx="391" formatCode="0">
                  <c:v>0</c:v>
                </c:pt>
                <c:pt idx="392" formatCode="0">
                  <c:v>0</c:v>
                </c:pt>
                <c:pt idx="393" formatCode="0">
                  <c:v>0</c:v>
                </c:pt>
                <c:pt idx="394" formatCode="0">
                  <c:v>0</c:v>
                </c:pt>
                <c:pt idx="395" formatCode="0">
                  <c:v>0</c:v>
                </c:pt>
                <c:pt idx="396" formatCode="0">
                  <c:v>0</c:v>
                </c:pt>
                <c:pt idx="398" formatCode="0">
                  <c:v>0</c:v>
                </c:pt>
                <c:pt idx="399" formatCode="0">
                  <c:v>0</c:v>
                </c:pt>
                <c:pt idx="400" formatCode="0">
                  <c:v>0</c:v>
                </c:pt>
                <c:pt idx="401" formatCode="0">
                  <c:v>0</c:v>
                </c:pt>
                <c:pt idx="402" formatCode="0">
                  <c:v>0</c:v>
                </c:pt>
                <c:pt idx="403" formatCode="0">
                  <c:v>0</c:v>
                </c:pt>
                <c:pt idx="404" formatCode="0">
                  <c:v>0</c:v>
                </c:pt>
                <c:pt idx="405" formatCode="0">
                  <c:v>0</c:v>
                </c:pt>
                <c:pt idx="406" formatCode="0">
                  <c:v>0</c:v>
                </c:pt>
                <c:pt idx="408" formatCode="0">
                  <c:v>0</c:v>
                </c:pt>
                <c:pt idx="409" formatCode="0">
                  <c:v>0</c:v>
                </c:pt>
                <c:pt idx="410" formatCode="0">
                  <c:v>0</c:v>
                </c:pt>
                <c:pt idx="411" formatCode="0">
                  <c:v>0</c:v>
                </c:pt>
                <c:pt idx="412" formatCode="0">
                  <c:v>0</c:v>
                </c:pt>
                <c:pt idx="413" formatCode="0">
                  <c:v>0</c:v>
                </c:pt>
                <c:pt idx="414" formatCode="0">
                  <c:v>0</c:v>
                </c:pt>
                <c:pt idx="416" formatCode="0">
                  <c:v>0</c:v>
                </c:pt>
                <c:pt idx="417" formatCode="0">
                  <c:v>0</c:v>
                </c:pt>
                <c:pt idx="418" formatCode="0">
                  <c:v>0</c:v>
                </c:pt>
                <c:pt idx="419" formatCode="0">
                  <c:v>0</c:v>
                </c:pt>
                <c:pt idx="420" formatCode="0">
                  <c:v>0</c:v>
                </c:pt>
                <c:pt idx="421" formatCode="0">
                  <c:v>0</c:v>
                </c:pt>
                <c:pt idx="423" formatCode="0">
                  <c:v>0</c:v>
                </c:pt>
                <c:pt idx="424" formatCode="0">
                  <c:v>0</c:v>
                </c:pt>
                <c:pt idx="425" formatCode="0">
                  <c:v>0</c:v>
                </c:pt>
                <c:pt idx="426" formatCode="0">
                  <c:v>0</c:v>
                </c:pt>
                <c:pt idx="427" formatCode="0">
                  <c:v>0</c:v>
                </c:pt>
                <c:pt idx="428" formatCode="0">
                  <c:v>0</c:v>
                </c:pt>
                <c:pt idx="429" formatCode="0">
                  <c:v>0</c:v>
                </c:pt>
                <c:pt idx="430" formatCode="0">
                  <c:v>0</c:v>
                </c:pt>
                <c:pt idx="431" formatCode="0">
                  <c:v>0</c:v>
                </c:pt>
                <c:pt idx="432" formatCode="0">
                  <c:v>0</c:v>
                </c:pt>
                <c:pt idx="433" formatCode="0">
                  <c:v>0</c:v>
                </c:pt>
                <c:pt idx="434" formatCode="0">
                  <c:v>0</c:v>
                </c:pt>
                <c:pt idx="435" formatCode="0">
                  <c:v>0</c:v>
                </c:pt>
                <c:pt idx="436" formatCode="0">
                  <c:v>0</c:v>
                </c:pt>
                <c:pt idx="437" formatCode="0">
                  <c:v>0</c:v>
                </c:pt>
                <c:pt idx="439" formatCode="0">
                  <c:v>0</c:v>
                </c:pt>
                <c:pt idx="440" formatCode="0">
                  <c:v>0</c:v>
                </c:pt>
                <c:pt idx="441" formatCode="0">
                  <c:v>0</c:v>
                </c:pt>
                <c:pt idx="442" formatCode="0">
                  <c:v>0</c:v>
                </c:pt>
                <c:pt idx="443" formatCode="0">
                  <c:v>0</c:v>
                </c:pt>
                <c:pt idx="444" formatCode="0">
                  <c:v>0</c:v>
                </c:pt>
                <c:pt idx="445" formatCode="0">
                  <c:v>0</c:v>
                </c:pt>
                <c:pt idx="447" formatCode="0">
                  <c:v>0</c:v>
                </c:pt>
                <c:pt idx="448" formatCode="0">
                  <c:v>0</c:v>
                </c:pt>
                <c:pt idx="449" formatCode="0">
                  <c:v>0</c:v>
                </c:pt>
                <c:pt idx="450" formatCode="0">
                  <c:v>0</c:v>
                </c:pt>
                <c:pt idx="451" formatCode="0">
                  <c:v>0</c:v>
                </c:pt>
                <c:pt idx="452" formatCode="0">
                  <c:v>0</c:v>
                </c:pt>
                <c:pt idx="453" formatCode="0">
                  <c:v>0</c:v>
                </c:pt>
                <c:pt idx="454" formatCode="0">
                  <c:v>0</c:v>
                </c:pt>
                <c:pt idx="456" formatCode="0">
                  <c:v>0</c:v>
                </c:pt>
                <c:pt idx="457" formatCode="0">
                  <c:v>0</c:v>
                </c:pt>
                <c:pt idx="458" formatCode="0">
                  <c:v>0</c:v>
                </c:pt>
                <c:pt idx="459" formatCode="0">
                  <c:v>0</c:v>
                </c:pt>
                <c:pt idx="460" formatCode="0">
                  <c:v>0</c:v>
                </c:pt>
                <c:pt idx="461" formatCode="0">
                  <c:v>0</c:v>
                </c:pt>
                <c:pt idx="462" formatCode="0">
                  <c:v>0</c:v>
                </c:pt>
                <c:pt idx="464" formatCode="0">
                  <c:v>0</c:v>
                </c:pt>
                <c:pt idx="465" formatCode="0">
                  <c:v>0</c:v>
                </c:pt>
                <c:pt idx="466" formatCode="0">
                  <c:v>0</c:v>
                </c:pt>
                <c:pt idx="467" formatCode="0">
                  <c:v>0</c:v>
                </c:pt>
                <c:pt idx="468" formatCode="0">
                  <c:v>0</c:v>
                </c:pt>
                <c:pt idx="469" formatCode="0">
                  <c:v>0</c:v>
                </c:pt>
                <c:pt idx="470" formatCode="0">
                  <c:v>0</c:v>
                </c:pt>
                <c:pt idx="471" formatCode="0">
                  <c:v>0</c:v>
                </c:pt>
                <c:pt idx="473" formatCode="0">
                  <c:v>0</c:v>
                </c:pt>
                <c:pt idx="474" formatCode="0">
                  <c:v>0</c:v>
                </c:pt>
                <c:pt idx="475" formatCode="0">
                  <c:v>0</c:v>
                </c:pt>
                <c:pt idx="476" formatCode="0">
                  <c:v>0</c:v>
                </c:pt>
                <c:pt idx="477" formatCode="0">
                  <c:v>0</c:v>
                </c:pt>
                <c:pt idx="478" formatCode="0">
                  <c:v>0</c:v>
                </c:pt>
                <c:pt idx="479" formatCode="0">
                  <c:v>0</c:v>
                </c:pt>
                <c:pt idx="481" formatCode="0">
                  <c:v>0</c:v>
                </c:pt>
                <c:pt idx="482" formatCode="0">
                  <c:v>0</c:v>
                </c:pt>
                <c:pt idx="483" formatCode="0">
                  <c:v>0</c:v>
                </c:pt>
                <c:pt idx="484" formatCode="0">
                  <c:v>0</c:v>
                </c:pt>
                <c:pt idx="485" formatCode="0">
                  <c:v>0</c:v>
                </c:pt>
                <c:pt idx="486" formatCode="0">
                  <c:v>0</c:v>
                </c:pt>
                <c:pt idx="487" formatCode="0">
                  <c:v>0</c:v>
                </c:pt>
                <c:pt idx="489" formatCode="0">
                  <c:v>0</c:v>
                </c:pt>
                <c:pt idx="490" formatCode="0">
                  <c:v>0</c:v>
                </c:pt>
                <c:pt idx="491" formatCode="0">
                  <c:v>0</c:v>
                </c:pt>
                <c:pt idx="492" formatCode="0">
                  <c:v>0</c:v>
                </c:pt>
                <c:pt idx="493" formatCode="0">
                  <c:v>0</c:v>
                </c:pt>
                <c:pt idx="494" formatCode="0">
                  <c:v>0</c:v>
                </c:pt>
                <c:pt idx="495" formatCode="0">
                  <c:v>0</c:v>
                </c:pt>
                <c:pt idx="497" formatCode="0">
                  <c:v>0</c:v>
                </c:pt>
                <c:pt idx="498" formatCode="0">
                  <c:v>0</c:v>
                </c:pt>
                <c:pt idx="499" formatCode="0">
                  <c:v>0</c:v>
                </c:pt>
                <c:pt idx="500" formatCode="0">
                  <c:v>0</c:v>
                </c:pt>
                <c:pt idx="501" formatCode="0">
                  <c:v>0</c:v>
                </c:pt>
                <c:pt idx="502" formatCode="0">
                  <c:v>0</c:v>
                </c:pt>
                <c:pt idx="503" formatCode="0">
                  <c:v>0</c:v>
                </c:pt>
                <c:pt idx="505" formatCode="0">
                  <c:v>0</c:v>
                </c:pt>
                <c:pt idx="506" formatCode="0">
                  <c:v>0</c:v>
                </c:pt>
                <c:pt idx="507" formatCode="0">
                  <c:v>0</c:v>
                </c:pt>
                <c:pt idx="508" formatCode="0">
                  <c:v>0</c:v>
                </c:pt>
                <c:pt idx="509" formatCode="0">
                  <c:v>0</c:v>
                </c:pt>
                <c:pt idx="510" formatCode="0">
                  <c:v>0</c:v>
                </c:pt>
                <c:pt idx="511" formatCode="0">
                  <c:v>0</c:v>
                </c:pt>
                <c:pt idx="513" formatCode="0">
                  <c:v>0</c:v>
                </c:pt>
                <c:pt idx="514" formatCode="0">
                  <c:v>0</c:v>
                </c:pt>
                <c:pt idx="515" formatCode="0">
                  <c:v>0</c:v>
                </c:pt>
                <c:pt idx="516" formatCode="0">
                  <c:v>0</c:v>
                </c:pt>
                <c:pt idx="517" formatCode="0">
                  <c:v>0</c:v>
                </c:pt>
                <c:pt idx="518" formatCode="0">
                  <c:v>0</c:v>
                </c:pt>
                <c:pt idx="520">
                  <c:v>0</c:v>
                </c:pt>
                <c:pt idx="521">
                  <c:v>0</c:v>
                </c:pt>
                <c:pt idx="522">
                  <c:v>0</c:v>
                </c:pt>
                <c:pt idx="523">
                  <c:v>0</c:v>
                </c:pt>
                <c:pt idx="524">
                  <c:v>0</c:v>
                </c:pt>
                <c:pt idx="525">
                  <c:v>0</c:v>
                </c:pt>
                <c:pt idx="526" formatCode="0">
                  <c:v>0</c:v>
                </c:pt>
                <c:pt idx="528">
                  <c:v>0</c:v>
                </c:pt>
                <c:pt idx="529">
                  <c:v>0</c:v>
                </c:pt>
                <c:pt idx="530">
                  <c:v>0</c:v>
                </c:pt>
                <c:pt idx="531">
                  <c:v>0</c:v>
                </c:pt>
                <c:pt idx="532">
                  <c:v>0</c:v>
                </c:pt>
                <c:pt idx="533">
                  <c:v>0</c:v>
                </c:pt>
                <c:pt idx="534" formatCode="0">
                  <c:v>0</c:v>
                </c:pt>
                <c:pt idx="536" formatCode="_(* #,##0_);_(* \(#,##0\);_(* &quot;-&quot;??_);_(@_)">
                  <c:v>0</c:v>
                </c:pt>
                <c:pt idx="538">
                  <c:v>0</c:v>
                </c:pt>
                <c:pt idx="539">
                  <c:v>0</c:v>
                </c:pt>
                <c:pt idx="540">
                  <c:v>0</c:v>
                </c:pt>
                <c:pt idx="541">
                  <c:v>0</c:v>
                </c:pt>
                <c:pt idx="542">
                  <c:v>0</c:v>
                </c:pt>
                <c:pt idx="544">
                  <c:v>0</c:v>
                </c:pt>
                <c:pt idx="545">
                  <c:v>0</c:v>
                </c:pt>
                <c:pt idx="546">
                  <c:v>0</c:v>
                </c:pt>
                <c:pt idx="548">
                  <c:v>0</c:v>
                </c:pt>
                <c:pt idx="549">
                  <c:v>0</c:v>
                </c:pt>
                <c:pt idx="551" formatCode="_(* #,##0_);_(* \(#,##0\);_(* &quot;-&quot;??_);_(@_)">
                  <c:v>0</c:v>
                </c:pt>
              </c:numCache>
            </c:numRef>
          </c:val>
          <c:extLst>
            <c:ext xmlns:c16="http://schemas.microsoft.com/office/drawing/2014/chart" uri="{C3380CC4-5D6E-409C-BE32-E72D297353CC}">
              <c16:uniqueId val="{00000001-D0A8-43A3-B2BA-CC7AF60235AB}"/>
            </c:ext>
          </c:extLst>
        </c:ser>
        <c:ser>
          <c:idx val="2"/>
          <c:order val="2"/>
          <c:invertIfNegative val="0"/>
          <c:cat>
            <c:multiLvlStrRef>
              <c:f>'پلان گاری سالانه با نواقص'!$A$1:$K$579</c:f>
              <c:multiLvlStrCache>
                <c:ptCount val="1158"/>
                <c:lvl>
                  <c:pt idx="2">
                    <c:v>قیمت فی واحد</c:v>
                  </c:pt>
                  <c:pt idx="4">
                    <c:v>100000</c:v>
                  </c:pt>
                  <c:pt idx="5">
                    <c:v>800</c:v>
                  </c:pt>
                  <c:pt idx="6">
                    <c:v>0</c:v>
                  </c:pt>
                  <c:pt idx="8">
                    <c:v>قیمت فی واحد</c:v>
                  </c:pt>
                  <c:pt idx="9">
                    <c:v>100000</c:v>
                  </c:pt>
                  <c:pt idx="10">
                    <c:v>800</c:v>
                  </c:pt>
                  <c:pt idx="11">
                    <c:v>0</c:v>
                  </c:pt>
                  <c:pt idx="13">
                    <c:v>قیمت فی واحد</c:v>
                  </c:pt>
                  <c:pt idx="14">
                    <c:v>100000</c:v>
                  </c:pt>
                  <c:pt idx="15">
                    <c:v>800</c:v>
                  </c:pt>
                  <c:pt idx="16">
                    <c:v>700</c:v>
                  </c:pt>
                  <c:pt idx="19">
                    <c:v>قیمت فی واحد</c:v>
                  </c:pt>
                  <c:pt idx="20">
                    <c:v>100000</c:v>
                  </c:pt>
                  <c:pt idx="21">
                    <c:v>800</c:v>
                  </c:pt>
                  <c:pt idx="22">
                    <c:v>0</c:v>
                  </c:pt>
                  <c:pt idx="24">
                    <c:v>قیمت فی واحد</c:v>
                  </c:pt>
                  <c:pt idx="25">
                    <c:v>100000</c:v>
                  </c:pt>
                  <c:pt idx="26">
                    <c:v>800</c:v>
                  </c:pt>
                  <c:pt idx="27">
                    <c:v>0</c:v>
                  </c:pt>
                  <c:pt idx="29">
                    <c:v>قیمت فی واحد</c:v>
                  </c:pt>
                  <c:pt idx="30">
                    <c:v>144000</c:v>
                  </c:pt>
                  <c:pt idx="31">
                    <c:v>10000</c:v>
                  </c:pt>
                  <c:pt idx="33">
                    <c:v>قیمت فی واحد</c:v>
                  </c:pt>
                  <c:pt idx="34">
                    <c:v>144000</c:v>
                  </c:pt>
                  <c:pt idx="35">
                    <c:v>10000</c:v>
                  </c:pt>
                  <c:pt idx="37">
                    <c:v>قیمت فی واحد</c:v>
                  </c:pt>
                  <c:pt idx="38">
                    <c:v>144000</c:v>
                  </c:pt>
                  <c:pt idx="41">
                    <c:v>قیمت فی واحد</c:v>
                  </c:pt>
                  <c:pt idx="42">
                    <c:v>100000</c:v>
                  </c:pt>
                  <c:pt idx="43">
                    <c:v>1500</c:v>
                  </c:pt>
                  <c:pt idx="44">
                    <c:v>800</c:v>
                  </c:pt>
                  <c:pt idx="47">
                    <c:v>قیمت فی واحد</c:v>
                  </c:pt>
                  <c:pt idx="48">
                    <c:v>100000</c:v>
                  </c:pt>
                  <c:pt idx="49">
                    <c:v>700</c:v>
                  </c:pt>
                  <c:pt idx="50">
                    <c:v>250</c:v>
                  </c:pt>
                  <c:pt idx="51">
                    <c:v>800</c:v>
                  </c:pt>
                  <c:pt idx="52">
                    <c:v>10000</c:v>
                  </c:pt>
                  <c:pt idx="54">
                    <c:v>قیمت فی واحد</c:v>
                  </c:pt>
                  <c:pt idx="55">
                    <c:v>100000</c:v>
                  </c:pt>
                  <c:pt idx="56">
                    <c:v>800</c:v>
                  </c:pt>
                  <c:pt idx="59">
                    <c:v>قیمت فی واحد</c:v>
                  </c:pt>
                  <c:pt idx="60">
                    <c:v>100000</c:v>
                  </c:pt>
                  <c:pt idx="61">
                    <c:v>800</c:v>
                  </c:pt>
                  <c:pt idx="64">
                    <c:v>قیمت فی واحد</c:v>
                  </c:pt>
                  <c:pt idx="65">
                    <c:v>60000</c:v>
                  </c:pt>
                  <c:pt idx="70">
                    <c:v>نورم کار</c:v>
                  </c:pt>
                  <c:pt idx="77">
                    <c:v>4000</c:v>
                  </c:pt>
                  <c:pt idx="79">
                    <c:v>125</c:v>
                  </c:pt>
                  <c:pt idx="80">
                    <c:v>250</c:v>
                  </c:pt>
                  <c:pt idx="86">
                    <c:v>قیمت فی واحد</c:v>
                  </c:pt>
                  <c:pt idx="91">
                    <c:v>500</c:v>
                  </c:pt>
                  <c:pt idx="92">
                    <c:v>300</c:v>
                  </c:pt>
                  <c:pt idx="93">
                    <c:v>100</c:v>
                  </c:pt>
                  <c:pt idx="95">
                    <c:v>80</c:v>
                  </c:pt>
                  <c:pt idx="96">
                    <c:v>80</c:v>
                  </c:pt>
                  <c:pt idx="98">
                    <c:v>50</c:v>
                  </c:pt>
                  <c:pt idx="99">
                    <c:v>100</c:v>
                  </c:pt>
                  <c:pt idx="101">
                    <c:v>4000</c:v>
                  </c:pt>
                  <c:pt idx="103">
                    <c:v>100</c:v>
                  </c:pt>
                  <c:pt idx="106">
                    <c:v>125</c:v>
                  </c:pt>
                  <c:pt idx="107">
                    <c:v>250</c:v>
                  </c:pt>
                  <c:pt idx="114">
                    <c:v>قیمت فی واحد</c:v>
                  </c:pt>
                  <c:pt idx="120">
                    <c:v>4000</c:v>
                  </c:pt>
                  <c:pt idx="122">
                    <c:v>250</c:v>
                  </c:pt>
                  <c:pt idx="123">
                    <c:v>250</c:v>
                  </c:pt>
                  <c:pt idx="129">
                    <c:v>قیمت فی واحد</c:v>
                  </c:pt>
                  <c:pt idx="132">
                    <c:v>500</c:v>
                  </c:pt>
                  <c:pt idx="133">
                    <c:v>300</c:v>
                  </c:pt>
                  <c:pt idx="134">
                    <c:v>100</c:v>
                  </c:pt>
                  <c:pt idx="136">
                    <c:v>80</c:v>
                  </c:pt>
                  <c:pt idx="137">
                    <c:v>80</c:v>
                  </c:pt>
                  <c:pt idx="139">
                    <c:v>50</c:v>
                  </c:pt>
                  <c:pt idx="140">
                    <c:v>100</c:v>
                  </c:pt>
                  <c:pt idx="142">
                    <c:v>4000</c:v>
                  </c:pt>
                  <c:pt idx="144">
                    <c:v>100</c:v>
                  </c:pt>
                  <c:pt idx="147">
                    <c:v>125</c:v>
                  </c:pt>
                  <c:pt idx="148">
                    <c:v>250</c:v>
                  </c:pt>
                  <c:pt idx="149">
                    <c:v>250</c:v>
                  </c:pt>
                  <c:pt idx="157">
                    <c:v>قیمت فی واحد</c:v>
                  </c:pt>
                  <c:pt idx="163">
                    <c:v>4000</c:v>
                  </c:pt>
                  <c:pt idx="165">
                    <c:v>125</c:v>
                  </c:pt>
                  <c:pt idx="166">
                    <c:v>250</c:v>
                  </c:pt>
                  <c:pt idx="172">
                    <c:v>قیمت فی واحد</c:v>
                  </c:pt>
                  <c:pt idx="176">
                    <c:v>100</c:v>
                  </c:pt>
                  <c:pt idx="180">
                    <c:v>قیمت فی واحد</c:v>
                  </c:pt>
                  <c:pt idx="184">
                    <c:v>100</c:v>
                  </c:pt>
                  <c:pt idx="187">
                    <c:v>قیمت فی واحد</c:v>
                  </c:pt>
                  <c:pt idx="193">
                    <c:v>500</c:v>
                  </c:pt>
                  <c:pt idx="194">
                    <c:v>300</c:v>
                  </c:pt>
                  <c:pt idx="195">
                    <c:v>100</c:v>
                  </c:pt>
                  <c:pt idx="197">
                    <c:v>80</c:v>
                  </c:pt>
                  <c:pt idx="198">
                    <c:v>80</c:v>
                  </c:pt>
                  <c:pt idx="200">
                    <c:v>50</c:v>
                  </c:pt>
                  <c:pt idx="201">
                    <c:v>100</c:v>
                  </c:pt>
                  <c:pt idx="203">
                    <c:v>4000</c:v>
                  </c:pt>
                  <c:pt idx="205">
                    <c:v>100</c:v>
                  </c:pt>
                  <c:pt idx="208">
                    <c:v>125</c:v>
                  </c:pt>
                  <c:pt idx="210">
                    <c:v>250</c:v>
                  </c:pt>
                  <c:pt idx="216">
                    <c:v>قیمت فی واحد</c:v>
                  </c:pt>
                  <c:pt idx="220">
                    <c:v>500</c:v>
                  </c:pt>
                  <c:pt idx="221">
                    <c:v>300</c:v>
                  </c:pt>
                  <c:pt idx="222">
                    <c:v>100</c:v>
                  </c:pt>
                  <c:pt idx="224">
                    <c:v>80</c:v>
                  </c:pt>
                  <c:pt idx="225">
                    <c:v>80</c:v>
                  </c:pt>
                  <c:pt idx="227">
                    <c:v>50</c:v>
                  </c:pt>
                  <c:pt idx="228">
                    <c:v>100</c:v>
                  </c:pt>
                  <c:pt idx="230">
                    <c:v>4000</c:v>
                  </c:pt>
                  <c:pt idx="232">
                    <c:v>100</c:v>
                  </c:pt>
                  <c:pt idx="237">
                    <c:v>قیمت فی واحد</c:v>
                  </c:pt>
                  <c:pt idx="242">
                    <c:v>4000</c:v>
                  </c:pt>
                  <c:pt idx="245">
                    <c:v>قیمت فی واحد</c:v>
                  </c:pt>
                  <c:pt idx="250">
                    <c:v>4000</c:v>
                  </c:pt>
                  <c:pt idx="253">
                    <c:v>قیمت فی واحد</c:v>
                  </c:pt>
                  <c:pt idx="258">
                    <c:v>4000</c:v>
                  </c:pt>
                  <c:pt idx="261">
                    <c:v>قیمت فی واحد</c:v>
                  </c:pt>
                  <c:pt idx="266">
                    <c:v>4000</c:v>
                  </c:pt>
                  <c:pt idx="269">
                    <c:v>قیمت فی واحد</c:v>
                  </c:pt>
                  <c:pt idx="274">
                    <c:v>4000</c:v>
                  </c:pt>
                  <c:pt idx="276">
                    <c:v>125</c:v>
                  </c:pt>
                  <c:pt idx="277">
                    <c:v>250</c:v>
                  </c:pt>
                  <c:pt idx="283">
                    <c:v>قیمت فی واحد</c:v>
                  </c:pt>
                  <c:pt idx="288">
                    <c:v>4000</c:v>
                  </c:pt>
                  <c:pt idx="290">
                    <c:v>125</c:v>
                  </c:pt>
                  <c:pt idx="291">
                    <c:v>250</c:v>
                  </c:pt>
                  <c:pt idx="297">
                    <c:v>11</c:v>
                  </c:pt>
                  <c:pt idx="298">
                    <c:v>12</c:v>
                  </c:pt>
                  <c:pt idx="302">
                    <c:v>قیمت فی واحد</c:v>
                  </c:pt>
                  <c:pt idx="538">
                    <c:v>قیمت فی واحد</c:v>
                  </c:pt>
                  <c:pt idx="539">
                    <c:v>32000</c:v>
                  </c:pt>
                  <c:pt idx="540">
                    <c:v>80000</c:v>
                  </c:pt>
                  <c:pt idx="541">
                    <c:v>2500</c:v>
                  </c:pt>
                  <c:pt idx="542">
                    <c:v>2147680</c:v>
                  </c:pt>
                  <c:pt idx="544">
                    <c:v>قیمت فی واحد</c:v>
                  </c:pt>
                  <c:pt idx="545">
                    <c:v>12000</c:v>
                  </c:pt>
                  <c:pt idx="546">
                    <c:v>8000</c:v>
                  </c:pt>
                  <c:pt idx="548">
                    <c:v>قیمت فی واحد</c:v>
                  </c:pt>
                  <c:pt idx="549">
                    <c:v>9115</c:v>
                  </c:pt>
                  <c:pt idx="557">
                    <c:v>قیمت به دالر </c:v>
                  </c:pt>
                  <c:pt idx="558">
                    <c:v> 201,492.54 </c:v>
                  </c:pt>
                  <c:pt idx="559">
                    <c:v> 260,591.47 </c:v>
                  </c:pt>
                  <c:pt idx="560">
                    <c:v> 389,259.12 </c:v>
                  </c:pt>
                  <c:pt idx="561">
                    <c:v> 114,546.39 </c:v>
                  </c:pt>
                  <c:pt idx="562">
                    <c:v> 34,110.48 </c:v>
                  </c:pt>
                  <c:pt idx="563">
                    <c:v> 1,000,000 </c:v>
                  </c:pt>
                  <c:pt idx="582">
                    <c:v>تاریخ ختم </c:v>
                  </c:pt>
                  <c:pt idx="583">
                    <c:v>1397/9/30</c:v>
                  </c:pt>
                  <c:pt idx="584">
                    <c:v>1397/9/30</c:v>
                  </c:pt>
                  <c:pt idx="585">
                    <c:v>1397/9/30</c:v>
                  </c:pt>
                  <c:pt idx="587">
                    <c:v>تاریخ ختم </c:v>
                  </c:pt>
                  <c:pt idx="588">
                    <c:v>1397/9/30</c:v>
                  </c:pt>
                  <c:pt idx="589">
                    <c:v>1397/9/30</c:v>
                  </c:pt>
                  <c:pt idx="590">
                    <c:v>1397/9/30</c:v>
                  </c:pt>
                  <c:pt idx="593">
                    <c:v>1397/9/30</c:v>
                  </c:pt>
                  <c:pt idx="594">
                    <c:v>1397/9/30</c:v>
                  </c:pt>
                  <c:pt idx="595">
                    <c:v>1397/9/30</c:v>
                  </c:pt>
                  <c:pt idx="596">
                    <c:v>1397/9/30</c:v>
                  </c:pt>
                  <c:pt idx="598">
                    <c:v>تاریخ ختم </c:v>
                  </c:pt>
                  <c:pt idx="599">
                    <c:v>1397/9/30</c:v>
                  </c:pt>
                  <c:pt idx="600">
                    <c:v>1397/9/30</c:v>
                  </c:pt>
                  <c:pt idx="601">
                    <c:v>1397/9/30</c:v>
                  </c:pt>
                  <c:pt idx="603">
                    <c:v>تاریخ ختم </c:v>
                  </c:pt>
                  <c:pt idx="604">
                    <c:v>1397/9/30</c:v>
                  </c:pt>
                  <c:pt idx="605">
                    <c:v>1397/9/30</c:v>
                  </c:pt>
                  <c:pt idx="606">
                    <c:v>1397/9/30</c:v>
                  </c:pt>
                  <c:pt idx="608">
                    <c:v>تاریخ ختم </c:v>
                  </c:pt>
                  <c:pt idx="609">
                    <c:v>1397/9/30</c:v>
                  </c:pt>
                  <c:pt idx="610">
                    <c:v>1397/9/30</c:v>
                  </c:pt>
                  <c:pt idx="612">
                    <c:v>تاریخ ختم </c:v>
                  </c:pt>
                  <c:pt idx="613">
                    <c:v>1397/9/30</c:v>
                  </c:pt>
                  <c:pt idx="614">
                    <c:v>1397/9/30</c:v>
                  </c:pt>
                  <c:pt idx="616">
                    <c:v>تاریخ ختم </c:v>
                  </c:pt>
                  <c:pt idx="617">
                    <c:v>1397/9/30</c:v>
                  </c:pt>
                  <c:pt idx="618">
                    <c:v>1397/9/30</c:v>
                  </c:pt>
                  <c:pt idx="620">
                    <c:v>تاریخ ختم </c:v>
                  </c:pt>
                  <c:pt idx="621">
                    <c:v>1397/9/30</c:v>
                  </c:pt>
                  <c:pt idx="622">
                    <c:v>1397/9/30</c:v>
                  </c:pt>
                  <c:pt idx="623">
                    <c:v>1397/9/30</c:v>
                  </c:pt>
                  <c:pt idx="624">
                    <c:v>1397/9/30</c:v>
                  </c:pt>
                  <c:pt idx="626">
                    <c:v>تاریخ ختم </c:v>
                  </c:pt>
                  <c:pt idx="627">
                    <c:v>1397/9/30</c:v>
                  </c:pt>
                  <c:pt idx="628">
                    <c:v>1397/9/30</c:v>
                  </c:pt>
                  <c:pt idx="629">
                    <c:v>1397/9/30</c:v>
                  </c:pt>
                  <c:pt idx="630">
                    <c:v>1397/9/30</c:v>
                  </c:pt>
                  <c:pt idx="631">
                    <c:v>1397/9/30</c:v>
                  </c:pt>
                  <c:pt idx="633">
                    <c:v>تاریخ ختم </c:v>
                  </c:pt>
                  <c:pt idx="634">
                    <c:v>1397/9/30</c:v>
                  </c:pt>
                  <c:pt idx="635">
                    <c:v>1397/9/30</c:v>
                  </c:pt>
                  <c:pt idx="636">
                    <c:v>1397/9/30</c:v>
                  </c:pt>
                  <c:pt idx="638">
                    <c:v>تاریخ ختم </c:v>
                  </c:pt>
                  <c:pt idx="639">
                    <c:v>1397/9/30</c:v>
                  </c:pt>
                  <c:pt idx="640">
                    <c:v>1397/9/30</c:v>
                  </c:pt>
                  <c:pt idx="641">
                    <c:v>1397/9/30</c:v>
                  </c:pt>
                  <c:pt idx="643">
                    <c:v>تاریخ ختم </c:v>
                  </c:pt>
                  <c:pt idx="644">
                    <c:v>1397/9/30</c:v>
                  </c:pt>
                  <c:pt idx="645">
                    <c:v>1397/9/30</c:v>
                  </c:pt>
                  <c:pt idx="647">
                    <c:v> -   </c:v>
                  </c:pt>
                  <c:pt idx="650">
                    <c:v>تاریخ ختم</c:v>
                  </c:pt>
                  <c:pt idx="651">
                    <c:v>30دلو</c:v>
                  </c:pt>
                  <c:pt idx="652">
                    <c:v>30حمل</c:v>
                  </c:pt>
                  <c:pt idx="655">
                    <c:v>30قوس </c:v>
                  </c:pt>
                  <c:pt idx="656">
                    <c:v>30قوس </c:v>
                  </c:pt>
                  <c:pt idx="658">
                    <c:v>30عقرب</c:v>
                  </c:pt>
                  <c:pt idx="659">
                    <c:v>30قوس</c:v>
                  </c:pt>
                  <c:pt idx="660">
                    <c:v>30سنبله </c:v>
                  </c:pt>
                  <c:pt idx="661">
                    <c:v>30سنبله </c:v>
                  </c:pt>
                  <c:pt idx="662">
                    <c:v>30عقرب</c:v>
                  </c:pt>
                  <c:pt idx="663">
                    <c:v>30قوس</c:v>
                  </c:pt>
                  <c:pt idx="665">
                    <c:v>تاریخ ختم </c:v>
                  </c:pt>
                  <c:pt idx="667">
                    <c:v>30قوس</c:v>
                  </c:pt>
                  <c:pt idx="668">
                    <c:v>30قوس</c:v>
                  </c:pt>
                  <c:pt idx="669">
                    <c:v>30قوس</c:v>
                  </c:pt>
                  <c:pt idx="670">
                    <c:v>15حوت</c:v>
                  </c:pt>
                  <c:pt idx="671">
                    <c:v>15حوت</c:v>
                  </c:pt>
                  <c:pt idx="672">
                    <c:v>30عقرب</c:v>
                  </c:pt>
                  <c:pt idx="673">
                    <c:v>30دلو</c:v>
                  </c:pt>
                  <c:pt idx="674">
                    <c:v>30عقرب</c:v>
                  </c:pt>
                  <c:pt idx="675">
                    <c:v>30عقرب</c:v>
                  </c:pt>
                  <c:pt idx="676">
                    <c:v>15قوس</c:v>
                  </c:pt>
                  <c:pt idx="677">
                    <c:v>15قوس</c:v>
                  </c:pt>
                  <c:pt idx="678">
                    <c:v>15حوت</c:v>
                  </c:pt>
                  <c:pt idx="679">
                    <c:v>30جدی</c:v>
                  </c:pt>
                  <c:pt idx="680">
                    <c:v>30حوت</c:v>
                  </c:pt>
                  <c:pt idx="681">
                    <c:v>30حوت</c:v>
                  </c:pt>
                  <c:pt idx="682">
                    <c:v>30سنبله </c:v>
                  </c:pt>
                  <c:pt idx="683">
                    <c:v>30میزان</c:v>
                  </c:pt>
                  <c:pt idx="685">
                    <c:v>30عقرب</c:v>
                  </c:pt>
                  <c:pt idx="686">
                    <c:v>30قوس</c:v>
                  </c:pt>
                  <c:pt idx="687">
                    <c:v>30سنبله </c:v>
                  </c:pt>
                  <c:pt idx="688">
                    <c:v>30سنبله </c:v>
                  </c:pt>
                  <c:pt idx="689">
                    <c:v>30عقرب</c:v>
                  </c:pt>
                  <c:pt idx="690">
                    <c:v>30قوس</c:v>
                  </c:pt>
                  <c:pt idx="691">
                    <c:v>30قوس</c:v>
                  </c:pt>
                  <c:pt idx="693">
                    <c:v>تاریخ ختم </c:v>
                  </c:pt>
                  <c:pt idx="694">
                    <c:v>30دلو</c:v>
                  </c:pt>
                  <c:pt idx="695">
                    <c:v>30حمل</c:v>
                  </c:pt>
                  <c:pt idx="696">
                    <c:v>30 قوس</c:v>
                  </c:pt>
                  <c:pt idx="697">
                    <c:v>30 قوس</c:v>
                  </c:pt>
                  <c:pt idx="698">
                    <c:v>30قوس </c:v>
                  </c:pt>
                  <c:pt idx="699">
                    <c:v>30قوس </c:v>
                  </c:pt>
                  <c:pt idx="701">
                    <c:v>30عقرب</c:v>
                  </c:pt>
                  <c:pt idx="702">
                    <c:v>30قوس</c:v>
                  </c:pt>
                  <c:pt idx="703">
                    <c:v>30سنبله </c:v>
                  </c:pt>
                  <c:pt idx="704">
                    <c:v>30سنبله </c:v>
                  </c:pt>
                  <c:pt idx="705">
                    <c:v>30عقرب</c:v>
                  </c:pt>
                  <c:pt idx="706">
                    <c:v>30قوس</c:v>
                  </c:pt>
                  <c:pt idx="708">
                    <c:v>تاریخ ختم </c:v>
                  </c:pt>
                  <c:pt idx="709">
                    <c:v>30قوس</c:v>
                  </c:pt>
                  <c:pt idx="710">
                    <c:v>30قوس</c:v>
                  </c:pt>
                  <c:pt idx="711">
                    <c:v>15حوت</c:v>
                  </c:pt>
                  <c:pt idx="712">
                    <c:v>15حوت</c:v>
                  </c:pt>
                  <c:pt idx="713">
                    <c:v>30عقرب</c:v>
                  </c:pt>
                  <c:pt idx="714">
                    <c:v>30دلو</c:v>
                  </c:pt>
                  <c:pt idx="715">
                    <c:v>30عقرب</c:v>
                  </c:pt>
                  <c:pt idx="716">
                    <c:v>30عقرب</c:v>
                  </c:pt>
                  <c:pt idx="717">
                    <c:v>15قوس</c:v>
                  </c:pt>
                  <c:pt idx="718">
                    <c:v>15قوس</c:v>
                  </c:pt>
                  <c:pt idx="719">
                    <c:v>15حوت</c:v>
                  </c:pt>
                  <c:pt idx="720">
                    <c:v>30جدی</c:v>
                  </c:pt>
                  <c:pt idx="721">
                    <c:v>30حوت</c:v>
                  </c:pt>
                  <c:pt idx="722">
                    <c:v>30حوت</c:v>
                  </c:pt>
                  <c:pt idx="723">
                    <c:v>30سنبله </c:v>
                  </c:pt>
                  <c:pt idx="724">
                    <c:v>30میزان</c:v>
                  </c:pt>
                  <c:pt idx="726">
                    <c:v>30عقرب</c:v>
                  </c:pt>
                  <c:pt idx="727">
                    <c:v>30عقرب</c:v>
                  </c:pt>
                  <c:pt idx="728">
                    <c:v>30قوس</c:v>
                  </c:pt>
                  <c:pt idx="729">
                    <c:v>30سنبله </c:v>
                  </c:pt>
                  <c:pt idx="730">
                    <c:v>30سنبله </c:v>
                  </c:pt>
                  <c:pt idx="731">
                    <c:v>30عقرب</c:v>
                  </c:pt>
                  <c:pt idx="732">
                    <c:v>30عقرب</c:v>
                  </c:pt>
                  <c:pt idx="733">
                    <c:v>30قوس</c:v>
                  </c:pt>
                  <c:pt idx="734">
                    <c:v>30قوس</c:v>
                  </c:pt>
                  <c:pt idx="736">
                    <c:v>تاریخ ختم </c:v>
                  </c:pt>
                  <c:pt idx="737">
                    <c:v>30دلو</c:v>
                  </c:pt>
                  <c:pt idx="738">
                    <c:v>30حمل</c:v>
                  </c:pt>
                  <c:pt idx="739">
                    <c:v>30 قوس</c:v>
                  </c:pt>
                  <c:pt idx="740">
                    <c:v>30قوس</c:v>
                  </c:pt>
                  <c:pt idx="741">
                    <c:v>30قوس </c:v>
                  </c:pt>
                  <c:pt idx="742">
                    <c:v>30قوس </c:v>
                  </c:pt>
                  <c:pt idx="744">
                    <c:v>30عقرب</c:v>
                  </c:pt>
                  <c:pt idx="745">
                    <c:v>30قوس</c:v>
                  </c:pt>
                  <c:pt idx="746">
                    <c:v>30سنبله </c:v>
                  </c:pt>
                  <c:pt idx="747">
                    <c:v>30سنبله </c:v>
                  </c:pt>
                  <c:pt idx="748">
                    <c:v>30عقرب</c:v>
                  </c:pt>
                  <c:pt idx="749">
                    <c:v>30قوس</c:v>
                  </c:pt>
                  <c:pt idx="751">
                    <c:v>تاریخ ختم </c:v>
                  </c:pt>
                  <c:pt idx="752">
                    <c:v>30قوس</c:v>
                  </c:pt>
                  <c:pt idx="753">
                    <c:v>30قوس</c:v>
                  </c:pt>
                  <c:pt idx="754">
                    <c:v>30قوس</c:v>
                  </c:pt>
                  <c:pt idx="755">
                    <c:v>30سنبله </c:v>
                  </c:pt>
                  <c:pt idx="756">
                    <c:v>30میزان</c:v>
                  </c:pt>
                  <c:pt idx="757">
                    <c:v>30قوس</c:v>
                  </c:pt>
                  <c:pt idx="759">
                    <c:v>تاریخ ختم </c:v>
                  </c:pt>
                  <c:pt idx="760">
                    <c:v>30قوس</c:v>
                  </c:pt>
                  <c:pt idx="761">
                    <c:v>30قوس</c:v>
                  </c:pt>
                  <c:pt idx="762">
                    <c:v>30میزان</c:v>
                  </c:pt>
                  <c:pt idx="763">
                    <c:v>30سنبله </c:v>
                  </c:pt>
                  <c:pt idx="764">
                    <c:v>30قوس</c:v>
                  </c:pt>
                  <c:pt idx="766">
                    <c:v>تاریخ ختم </c:v>
                  </c:pt>
                  <c:pt idx="767">
                    <c:v>30قوس</c:v>
                  </c:pt>
                  <c:pt idx="768">
                    <c:v>30قوس</c:v>
                  </c:pt>
                  <c:pt idx="769">
                    <c:v>30حمل</c:v>
                  </c:pt>
                  <c:pt idx="770">
                    <c:v>30قوس</c:v>
                  </c:pt>
                  <c:pt idx="771">
                    <c:v>30قوس</c:v>
                  </c:pt>
                  <c:pt idx="772">
                    <c:v>15حوت</c:v>
                  </c:pt>
                  <c:pt idx="773">
                    <c:v>15حوت</c:v>
                  </c:pt>
                  <c:pt idx="774">
                    <c:v>30عقرب</c:v>
                  </c:pt>
                  <c:pt idx="775">
                    <c:v>30دلو</c:v>
                  </c:pt>
                  <c:pt idx="776">
                    <c:v>30عقرب</c:v>
                  </c:pt>
                  <c:pt idx="777">
                    <c:v>30عقرب</c:v>
                  </c:pt>
                  <c:pt idx="778">
                    <c:v>15قوس</c:v>
                  </c:pt>
                  <c:pt idx="779">
                    <c:v>15قوس</c:v>
                  </c:pt>
                  <c:pt idx="780">
                    <c:v>15حوت</c:v>
                  </c:pt>
                  <c:pt idx="781">
                    <c:v>30جدی</c:v>
                  </c:pt>
                  <c:pt idx="782">
                    <c:v>30حوت</c:v>
                  </c:pt>
                  <c:pt idx="783">
                    <c:v>30حوت</c:v>
                  </c:pt>
                  <c:pt idx="784">
                    <c:v>30سنبله </c:v>
                  </c:pt>
                  <c:pt idx="785">
                    <c:v>30میزان</c:v>
                  </c:pt>
                  <c:pt idx="786">
                    <c:v>30قوس</c:v>
                  </c:pt>
                  <c:pt idx="787">
                    <c:v>30عقرب</c:v>
                  </c:pt>
                  <c:pt idx="788">
                    <c:v>30قوس</c:v>
                  </c:pt>
                  <c:pt idx="789">
                    <c:v>30سنبله </c:v>
                  </c:pt>
                  <c:pt idx="790">
                    <c:v>30سنبله </c:v>
                  </c:pt>
                  <c:pt idx="791">
                    <c:v>30عقرب</c:v>
                  </c:pt>
                  <c:pt idx="792">
                    <c:v>30قوس</c:v>
                  </c:pt>
                  <c:pt idx="793">
                    <c:v>30قوس</c:v>
                  </c:pt>
                  <c:pt idx="795">
                    <c:v>تاریخ ختم </c:v>
                  </c:pt>
                  <c:pt idx="796">
                    <c:v>30قوس</c:v>
                  </c:pt>
                  <c:pt idx="797">
                    <c:v>30 قوس</c:v>
                  </c:pt>
                  <c:pt idx="798">
                    <c:v>30قوس</c:v>
                  </c:pt>
                  <c:pt idx="799">
                    <c:v>15حوت</c:v>
                  </c:pt>
                  <c:pt idx="800">
                    <c:v>15حوت</c:v>
                  </c:pt>
                  <c:pt idx="801">
                    <c:v>30عقرب</c:v>
                  </c:pt>
                  <c:pt idx="802">
                    <c:v>30دلو</c:v>
                  </c:pt>
                  <c:pt idx="803">
                    <c:v>30عقرب</c:v>
                  </c:pt>
                  <c:pt idx="804">
                    <c:v>30عقرب</c:v>
                  </c:pt>
                  <c:pt idx="805">
                    <c:v>15قوس</c:v>
                  </c:pt>
                  <c:pt idx="806">
                    <c:v>15قوس</c:v>
                  </c:pt>
                  <c:pt idx="807">
                    <c:v>15حوت</c:v>
                  </c:pt>
                  <c:pt idx="808">
                    <c:v>30جدی</c:v>
                  </c:pt>
                  <c:pt idx="809">
                    <c:v>30حوت</c:v>
                  </c:pt>
                  <c:pt idx="810">
                    <c:v>30حوت</c:v>
                  </c:pt>
                  <c:pt idx="811">
                    <c:v>30سنبله </c:v>
                  </c:pt>
                  <c:pt idx="812">
                    <c:v>30میزان</c:v>
                  </c:pt>
                  <c:pt idx="813">
                    <c:v>30قوس</c:v>
                  </c:pt>
                  <c:pt idx="814">
                    <c:v>30قوس</c:v>
                  </c:pt>
                  <c:pt idx="816">
                    <c:v>تاریخ ختم </c:v>
                  </c:pt>
                  <c:pt idx="817">
                    <c:v>30دلو</c:v>
                  </c:pt>
                  <c:pt idx="818">
                    <c:v>30حمل</c:v>
                  </c:pt>
                  <c:pt idx="819">
                    <c:v>31 قوس</c:v>
                  </c:pt>
                  <c:pt idx="820">
                    <c:v>30قوس </c:v>
                  </c:pt>
                  <c:pt idx="821">
                    <c:v>30قوس </c:v>
                  </c:pt>
                  <c:pt idx="822">
                    <c:v>30قوس</c:v>
                  </c:pt>
                  <c:pt idx="824">
                    <c:v>تاریخ ختم </c:v>
                  </c:pt>
                  <c:pt idx="825">
                    <c:v>30دلو</c:v>
                  </c:pt>
                  <c:pt idx="826">
                    <c:v>30حمل</c:v>
                  </c:pt>
                  <c:pt idx="827">
                    <c:v>31 قوس</c:v>
                  </c:pt>
                  <c:pt idx="828">
                    <c:v>30قوس </c:v>
                  </c:pt>
                  <c:pt idx="829">
                    <c:v>30قوس </c:v>
                  </c:pt>
                  <c:pt idx="830">
                    <c:v>30قوس</c:v>
                  </c:pt>
                  <c:pt idx="832">
                    <c:v>تاریخ ختم </c:v>
                  </c:pt>
                  <c:pt idx="833">
                    <c:v>30دلو</c:v>
                  </c:pt>
                  <c:pt idx="834">
                    <c:v>30حمل</c:v>
                  </c:pt>
                  <c:pt idx="835">
                    <c:v>31 قوس</c:v>
                  </c:pt>
                  <c:pt idx="836">
                    <c:v>30قوس </c:v>
                  </c:pt>
                  <c:pt idx="837">
                    <c:v>30قوس </c:v>
                  </c:pt>
                  <c:pt idx="838">
                    <c:v>30قوس</c:v>
                  </c:pt>
                  <c:pt idx="840">
                    <c:v>تاریخ ختم </c:v>
                  </c:pt>
                  <c:pt idx="841">
                    <c:v>30دلو</c:v>
                  </c:pt>
                  <c:pt idx="842">
                    <c:v>30حمل</c:v>
                  </c:pt>
                  <c:pt idx="843">
                    <c:v>31 قوس</c:v>
                  </c:pt>
                  <c:pt idx="844">
                    <c:v>30قوس </c:v>
                  </c:pt>
                  <c:pt idx="845">
                    <c:v>30قوس </c:v>
                  </c:pt>
                  <c:pt idx="846">
                    <c:v>30قوس</c:v>
                  </c:pt>
                  <c:pt idx="848">
                    <c:v>تاریخ ختم </c:v>
                  </c:pt>
                  <c:pt idx="849">
                    <c:v>30دلو</c:v>
                  </c:pt>
                  <c:pt idx="850">
                    <c:v>30حمل</c:v>
                  </c:pt>
                  <c:pt idx="851">
                    <c:v>31 قوس</c:v>
                  </c:pt>
                  <c:pt idx="852">
                    <c:v>30قوس </c:v>
                  </c:pt>
                  <c:pt idx="853">
                    <c:v>30قوس </c:v>
                  </c:pt>
                  <c:pt idx="855">
                    <c:v>30عقرب</c:v>
                  </c:pt>
                  <c:pt idx="856">
                    <c:v>30قوس</c:v>
                  </c:pt>
                  <c:pt idx="857">
                    <c:v>30سنبله </c:v>
                  </c:pt>
                  <c:pt idx="858">
                    <c:v>30سنبله </c:v>
                  </c:pt>
                  <c:pt idx="859">
                    <c:v>30عقرب</c:v>
                  </c:pt>
                  <c:pt idx="860">
                    <c:v>30قوس</c:v>
                  </c:pt>
                  <c:pt idx="862">
                    <c:v>تاریخ ختم </c:v>
                  </c:pt>
                  <c:pt idx="863">
                    <c:v>30دلو</c:v>
                  </c:pt>
                  <c:pt idx="864">
                    <c:v>30حمل</c:v>
                  </c:pt>
                  <c:pt idx="865">
                    <c:v>31 قوس</c:v>
                  </c:pt>
                  <c:pt idx="866">
                    <c:v>30قوس </c:v>
                  </c:pt>
                  <c:pt idx="867">
                    <c:v>30قوس </c:v>
                  </c:pt>
                  <c:pt idx="869">
                    <c:v>30عقرب</c:v>
                  </c:pt>
                  <c:pt idx="870">
                    <c:v>30قوس</c:v>
                  </c:pt>
                  <c:pt idx="871">
                    <c:v>30سنبله </c:v>
                  </c:pt>
                  <c:pt idx="872">
                    <c:v>30سنبله </c:v>
                  </c:pt>
                  <c:pt idx="873">
                    <c:v>30عقرب</c:v>
                  </c:pt>
                  <c:pt idx="874">
                    <c:v>30قوس</c:v>
                  </c:pt>
                  <c:pt idx="878">
                    <c:v> -   </c:v>
                  </c:pt>
                  <c:pt idx="879">
                    <c:v> -   </c:v>
                  </c:pt>
                  <c:pt idx="881">
                    <c:v>تاریخ ختم </c:v>
                  </c:pt>
                  <c:pt idx="882">
                    <c:v>30قوس</c:v>
                  </c:pt>
                  <c:pt idx="883">
                    <c:v>30قوس</c:v>
                  </c:pt>
                  <c:pt idx="884">
                    <c:v>30قوس</c:v>
                  </c:pt>
                  <c:pt idx="885">
                    <c:v>30قوس</c:v>
                  </c:pt>
                  <c:pt idx="886">
                    <c:v>30قوس</c:v>
                  </c:pt>
                  <c:pt idx="887">
                    <c:v>30قوس</c:v>
                  </c:pt>
                  <c:pt idx="888">
                    <c:v>30قوس</c:v>
                  </c:pt>
                  <c:pt idx="890">
                    <c:v>30قوس</c:v>
                  </c:pt>
                  <c:pt idx="891">
                    <c:v>30قوس</c:v>
                  </c:pt>
                  <c:pt idx="892">
                    <c:v>30قوس</c:v>
                  </c:pt>
                  <c:pt idx="893">
                    <c:v>30قوس</c:v>
                  </c:pt>
                  <c:pt idx="894">
                    <c:v>30قوس</c:v>
                  </c:pt>
                  <c:pt idx="895">
                    <c:v>30قوس</c:v>
                  </c:pt>
                  <c:pt idx="896">
                    <c:v>30قوس</c:v>
                  </c:pt>
                  <c:pt idx="898">
                    <c:v>30قوس</c:v>
                  </c:pt>
                  <c:pt idx="899">
                    <c:v>30قوس</c:v>
                  </c:pt>
                  <c:pt idx="900">
                    <c:v>30قوس</c:v>
                  </c:pt>
                  <c:pt idx="901">
                    <c:v>30قوس</c:v>
                  </c:pt>
                  <c:pt idx="902">
                    <c:v>30قوس</c:v>
                  </c:pt>
                  <c:pt idx="903">
                    <c:v>30قوس</c:v>
                  </c:pt>
                  <c:pt idx="904">
                    <c:v>30قوس</c:v>
                  </c:pt>
                  <c:pt idx="906">
                    <c:v>30قوس</c:v>
                  </c:pt>
                  <c:pt idx="907">
                    <c:v>30قوس</c:v>
                  </c:pt>
                  <c:pt idx="908">
                    <c:v>30قوس</c:v>
                  </c:pt>
                  <c:pt idx="909">
                    <c:v>30قوس</c:v>
                  </c:pt>
                  <c:pt idx="910">
                    <c:v>30قوس</c:v>
                  </c:pt>
                  <c:pt idx="911">
                    <c:v>30قوس</c:v>
                  </c:pt>
                  <c:pt idx="913">
                    <c:v>30قوس</c:v>
                  </c:pt>
                  <c:pt idx="914">
                    <c:v>30قوس</c:v>
                  </c:pt>
                  <c:pt idx="915">
                    <c:v>30قوس</c:v>
                  </c:pt>
                  <c:pt idx="916">
                    <c:v>30قوس</c:v>
                  </c:pt>
                  <c:pt idx="917">
                    <c:v>30قوس</c:v>
                  </c:pt>
                  <c:pt idx="918">
                    <c:v>30قوس</c:v>
                  </c:pt>
                  <c:pt idx="919">
                    <c:v>30قوس</c:v>
                  </c:pt>
                  <c:pt idx="921">
                    <c:v>30قوس</c:v>
                  </c:pt>
                  <c:pt idx="922">
                    <c:v>30قوس</c:v>
                  </c:pt>
                  <c:pt idx="923">
                    <c:v>30قوس</c:v>
                  </c:pt>
                  <c:pt idx="924">
                    <c:v>30قوس</c:v>
                  </c:pt>
                  <c:pt idx="925">
                    <c:v>30قوس</c:v>
                  </c:pt>
                  <c:pt idx="927">
                    <c:v>30قوس</c:v>
                  </c:pt>
                  <c:pt idx="928">
                    <c:v>30قوس</c:v>
                  </c:pt>
                  <c:pt idx="929">
                    <c:v>30قوس</c:v>
                  </c:pt>
                  <c:pt idx="930">
                    <c:v>30قوس</c:v>
                  </c:pt>
                  <c:pt idx="931">
                    <c:v>30قوس</c:v>
                  </c:pt>
                  <c:pt idx="932">
                    <c:v>30قوس</c:v>
                  </c:pt>
                  <c:pt idx="933">
                    <c:v>30قوس</c:v>
                  </c:pt>
                  <c:pt idx="934">
                    <c:v>30قوس</c:v>
                  </c:pt>
                  <c:pt idx="936">
                    <c:v>30قوس</c:v>
                  </c:pt>
                  <c:pt idx="937">
                    <c:v>30قوس</c:v>
                  </c:pt>
                  <c:pt idx="938">
                    <c:v>30قوس</c:v>
                  </c:pt>
                  <c:pt idx="939">
                    <c:v>30قوس</c:v>
                  </c:pt>
                  <c:pt idx="940">
                    <c:v>30قوس</c:v>
                  </c:pt>
                  <c:pt idx="941">
                    <c:v>30قوس</c:v>
                  </c:pt>
                  <c:pt idx="942">
                    <c:v>30قوس</c:v>
                  </c:pt>
                  <c:pt idx="944">
                    <c:v>30قوس</c:v>
                  </c:pt>
                  <c:pt idx="945">
                    <c:v>30قوس</c:v>
                  </c:pt>
                  <c:pt idx="946">
                    <c:v>30قوس</c:v>
                  </c:pt>
                  <c:pt idx="947">
                    <c:v>30قوس</c:v>
                  </c:pt>
                  <c:pt idx="948">
                    <c:v>30قوس</c:v>
                  </c:pt>
                  <c:pt idx="949">
                    <c:v>30قوس</c:v>
                  </c:pt>
                  <c:pt idx="950">
                    <c:v>30قوس</c:v>
                  </c:pt>
                  <c:pt idx="952">
                    <c:v>30قوس</c:v>
                  </c:pt>
                  <c:pt idx="953">
                    <c:v>30قوس</c:v>
                  </c:pt>
                  <c:pt idx="954">
                    <c:v>30قوس</c:v>
                  </c:pt>
                  <c:pt idx="955">
                    <c:v>30قوس</c:v>
                  </c:pt>
                  <c:pt idx="956">
                    <c:v>30قوس</c:v>
                  </c:pt>
                  <c:pt idx="957">
                    <c:v>30قوس</c:v>
                  </c:pt>
                  <c:pt idx="958">
                    <c:v>30قوس</c:v>
                  </c:pt>
                  <c:pt idx="959">
                    <c:v>30قوس</c:v>
                  </c:pt>
                  <c:pt idx="961">
                    <c:v>30قوس</c:v>
                  </c:pt>
                  <c:pt idx="962">
                    <c:v>30قوس</c:v>
                  </c:pt>
                  <c:pt idx="963">
                    <c:v>30قوس</c:v>
                  </c:pt>
                  <c:pt idx="964">
                    <c:v>30قوس</c:v>
                  </c:pt>
                  <c:pt idx="965">
                    <c:v>30قوس</c:v>
                  </c:pt>
                  <c:pt idx="966">
                    <c:v>30قوس</c:v>
                  </c:pt>
                  <c:pt idx="967">
                    <c:v>30قوس</c:v>
                  </c:pt>
                  <c:pt idx="969">
                    <c:v>30قوس</c:v>
                  </c:pt>
                  <c:pt idx="970">
                    <c:v>30قوس</c:v>
                  </c:pt>
                  <c:pt idx="971">
                    <c:v>30قوس</c:v>
                  </c:pt>
                  <c:pt idx="972">
                    <c:v>30قوس</c:v>
                  </c:pt>
                  <c:pt idx="973">
                    <c:v>30قوس</c:v>
                  </c:pt>
                  <c:pt idx="974">
                    <c:v>30قوس</c:v>
                  </c:pt>
                  <c:pt idx="975">
                    <c:v>30قوس</c:v>
                  </c:pt>
                  <c:pt idx="977">
                    <c:v>30قوس</c:v>
                  </c:pt>
                  <c:pt idx="978">
                    <c:v>30قوس</c:v>
                  </c:pt>
                  <c:pt idx="979">
                    <c:v>30قوس</c:v>
                  </c:pt>
                  <c:pt idx="980">
                    <c:v>30قوس</c:v>
                  </c:pt>
                  <c:pt idx="981">
                    <c:v>30قوس</c:v>
                  </c:pt>
                  <c:pt idx="982">
                    <c:v>30قوس</c:v>
                  </c:pt>
                  <c:pt idx="983">
                    <c:v>30قوس</c:v>
                  </c:pt>
                  <c:pt idx="984">
                    <c:v>30قوس</c:v>
                  </c:pt>
                  <c:pt idx="985">
                    <c:v>30قوس</c:v>
                  </c:pt>
                  <c:pt idx="987">
                    <c:v>30قوس</c:v>
                  </c:pt>
                  <c:pt idx="988">
                    <c:v>30قوس</c:v>
                  </c:pt>
                  <c:pt idx="989">
                    <c:v>30قوس</c:v>
                  </c:pt>
                  <c:pt idx="990">
                    <c:v>30قوس</c:v>
                  </c:pt>
                  <c:pt idx="991">
                    <c:v>30قوس</c:v>
                  </c:pt>
                  <c:pt idx="992">
                    <c:v>30قوس</c:v>
                  </c:pt>
                  <c:pt idx="993">
                    <c:v>30قوس</c:v>
                  </c:pt>
                  <c:pt idx="995">
                    <c:v>30قوس</c:v>
                  </c:pt>
                  <c:pt idx="996">
                    <c:v>30قوس</c:v>
                  </c:pt>
                  <c:pt idx="997">
                    <c:v>30قوس</c:v>
                  </c:pt>
                  <c:pt idx="998">
                    <c:v>30قوس</c:v>
                  </c:pt>
                  <c:pt idx="999">
                    <c:v>30قوس</c:v>
                  </c:pt>
                  <c:pt idx="1000">
                    <c:v>30قوس</c:v>
                  </c:pt>
                  <c:pt idx="1002">
                    <c:v>1جدی</c:v>
                  </c:pt>
                  <c:pt idx="1003">
                    <c:v>1جدی</c:v>
                  </c:pt>
                  <c:pt idx="1004">
                    <c:v>1جدی</c:v>
                  </c:pt>
                  <c:pt idx="1005">
                    <c:v>1جدی</c:v>
                  </c:pt>
                  <c:pt idx="1006">
                    <c:v>1جدی</c:v>
                  </c:pt>
                  <c:pt idx="1007">
                    <c:v>1جدی</c:v>
                  </c:pt>
                  <c:pt idx="1008">
                    <c:v>1جدی</c:v>
                  </c:pt>
                  <c:pt idx="1009">
                    <c:v>1جدی</c:v>
                  </c:pt>
                  <c:pt idx="1010">
                    <c:v>1جدی</c:v>
                  </c:pt>
                  <c:pt idx="1011">
                    <c:v>1جدی</c:v>
                  </c:pt>
                  <c:pt idx="1012">
                    <c:v>1جدی</c:v>
                  </c:pt>
                  <c:pt idx="1013">
                    <c:v>1جدی</c:v>
                  </c:pt>
                  <c:pt idx="1014">
                    <c:v>1جدی</c:v>
                  </c:pt>
                  <c:pt idx="1015">
                    <c:v>1جدی</c:v>
                  </c:pt>
                  <c:pt idx="1016">
                    <c:v>1جدی</c:v>
                  </c:pt>
                  <c:pt idx="1018">
                    <c:v>30قوس</c:v>
                  </c:pt>
                  <c:pt idx="1019">
                    <c:v>30قوس</c:v>
                  </c:pt>
                  <c:pt idx="1020">
                    <c:v>30قوس</c:v>
                  </c:pt>
                  <c:pt idx="1021">
                    <c:v>30قوس</c:v>
                  </c:pt>
                  <c:pt idx="1022">
                    <c:v>30قوس</c:v>
                  </c:pt>
                  <c:pt idx="1023">
                    <c:v>30قوس</c:v>
                  </c:pt>
                  <c:pt idx="1024">
                    <c:v>30قوس</c:v>
                  </c:pt>
                  <c:pt idx="1026">
                    <c:v>30قوس</c:v>
                  </c:pt>
                  <c:pt idx="1027">
                    <c:v>30قوس</c:v>
                  </c:pt>
                  <c:pt idx="1028">
                    <c:v>30قوس</c:v>
                  </c:pt>
                  <c:pt idx="1029">
                    <c:v>30قوس</c:v>
                  </c:pt>
                  <c:pt idx="1030">
                    <c:v>30قوس</c:v>
                  </c:pt>
                  <c:pt idx="1031">
                    <c:v>30قوس</c:v>
                  </c:pt>
                  <c:pt idx="1032">
                    <c:v>30قوس</c:v>
                  </c:pt>
                  <c:pt idx="1033">
                    <c:v>30قوس</c:v>
                  </c:pt>
                  <c:pt idx="1035">
                    <c:v>30قوس</c:v>
                  </c:pt>
                  <c:pt idx="1036">
                    <c:v>30قوس</c:v>
                  </c:pt>
                  <c:pt idx="1037">
                    <c:v>30قوس</c:v>
                  </c:pt>
                  <c:pt idx="1038">
                    <c:v>30قوس</c:v>
                  </c:pt>
                  <c:pt idx="1039">
                    <c:v>30قوس</c:v>
                  </c:pt>
                  <c:pt idx="1040">
                    <c:v>30قوس</c:v>
                  </c:pt>
                  <c:pt idx="1041">
                    <c:v>30قوس</c:v>
                  </c:pt>
                  <c:pt idx="1043">
                    <c:v>30قوس</c:v>
                  </c:pt>
                  <c:pt idx="1044">
                    <c:v>30قوس</c:v>
                  </c:pt>
                  <c:pt idx="1045">
                    <c:v>30قوس</c:v>
                  </c:pt>
                  <c:pt idx="1046">
                    <c:v>30قوس</c:v>
                  </c:pt>
                  <c:pt idx="1047">
                    <c:v>30قوس</c:v>
                  </c:pt>
                  <c:pt idx="1048">
                    <c:v>30قوس</c:v>
                  </c:pt>
                  <c:pt idx="1049">
                    <c:v>30قوس</c:v>
                  </c:pt>
                  <c:pt idx="1050">
                    <c:v>30قوس</c:v>
                  </c:pt>
                  <c:pt idx="1052">
                    <c:v>30قوس</c:v>
                  </c:pt>
                  <c:pt idx="1053">
                    <c:v>30قوس</c:v>
                  </c:pt>
                  <c:pt idx="1054">
                    <c:v>30قوس</c:v>
                  </c:pt>
                  <c:pt idx="1055">
                    <c:v>30قوس</c:v>
                  </c:pt>
                  <c:pt idx="1056">
                    <c:v>30قوس</c:v>
                  </c:pt>
                  <c:pt idx="1057">
                    <c:v>30قوس</c:v>
                  </c:pt>
                  <c:pt idx="1058">
                    <c:v>30قوس</c:v>
                  </c:pt>
                  <c:pt idx="1060">
                    <c:v>30قوس</c:v>
                  </c:pt>
                  <c:pt idx="1061">
                    <c:v>30قوس</c:v>
                  </c:pt>
                  <c:pt idx="1062">
                    <c:v>30قوس</c:v>
                  </c:pt>
                  <c:pt idx="1063">
                    <c:v>30قوس</c:v>
                  </c:pt>
                  <c:pt idx="1064">
                    <c:v>30قوس</c:v>
                  </c:pt>
                  <c:pt idx="1065">
                    <c:v>30قوس</c:v>
                  </c:pt>
                  <c:pt idx="1066">
                    <c:v>30قوس</c:v>
                  </c:pt>
                  <c:pt idx="1068">
                    <c:v>30قوس</c:v>
                  </c:pt>
                  <c:pt idx="1069">
                    <c:v>30قوس</c:v>
                  </c:pt>
                  <c:pt idx="1070">
                    <c:v>30قوس</c:v>
                  </c:pt>
                  <c:pt idx="1071">
                    <c:v>30قوس</c:v>
                  </c:pt>
                  <c:pt idx="1072">
                    <c:v>30قوس</c:v>
                  </c:pt>
                  <c:pt idx="1073">
                    <c:v>30قوس</c:v>
                  </c:pt>
                  <c:pt idx="1074">
                    <c:v>30قوس</c:v>
                  </c:pt>
                  <c:pt idx="1076">
                    <c:v>30قوس</c:v>
                  </c:pt>
                  <c:pt idx="1077">
                    <c:v>30قوس</c:v>
                  </c:pt>
                  <c:pt idx="1078">
                    <c:v>30قوس</c:v>
                  </c:pt>
                  <c:pt idx="1079">
                    <c:v>30قوس</c:v>
                  </c:pt>
                  <c:pt idx="1080">
                    <c:v>30قوس</c:v>
                  </c:pt>
                  <c:pt idx="1081">
                    <c:v>30قوس</c:v>
                  </c:pt>
                  <c:pt idx="1082">
                    <c:v>30قوس</c:v>
                  </c:pt>
                  <c:pt idx="1084">
                    <c:v>30قوس</c:v>
                  </c:pt>
                  <c:pt idx="1085">
                    <c:v>30قوس</c:v>
                  </c:pt>
                  <c:pt idx="1086">
                    <c:v>30قوس</c:v>
                  </c:pt>
                  <c:pt idx="1087">
                    <c:v>30قوس</c:v>
                  </c:pt>
                  <c:pt idx="1088">
                    <c:v>30قوس</c:v>
                  </c:pt>
                  <c:pt idx="1089">
                    <c:v>30قوس</c:v>
                  </c:pt>
                  <c:pt idx="1090">
                    <c:v>30قوس</c:v>
                  </c:pt>
                  <c:pt idx="1092">
                    <c:v>30قوس</c:v>
                  </c:pt>
                  <c:pt idx="1093">
                    <c:v>30قوس</c:v>
                  </c:pt>
                  <c:pt idx="1094">
                    <c:v>30قوس</c:v>
                  </c:pt>
                  <c:pt idx="1095">
                    <c:v>30قوس</c:v>
                  </c:pt>
                  <c:pt idx="1096">
                    <c:v>30قوس</c:v>
                  </c:pt>
                  <c:pt idx="1097">
                    <c:v>30قوس</c:v>
                  </c:pt>
                  <c:pt idx="1099">
                    <c:v>30قوس</c:v>
                  </c:pt>
                  <c:pt idx="1100">
                    <c:v>30قوس</c:v>
                  </c:pt>
                  <c:pt idx="1101">
                    <c:v>30قوس</c:v>
                  </c:pt>
                  <c:pt idx="1102">
                    <c:v>30قوس</c:v>
                  </c:pt>
                  <c:pt idx="1103">
                    <c:v>30قوس</c:v>
                  </c:pt>
                  <c:pt idx="1104">
                    <c:v>30قوس</c:v>
                  </c:pt>
                  <c:pt idx="1105">
                    <c:v>30قوس</c:v>
                  </c:pt>
                  <c:pt idx="1107">
                    <c:v>30قوس</c:v>
                  </c:pt>
                  <c:pt idx="1108">
                    <c:v>30قوس</c:v>
                  </c:pt>
                  <c:pt idx="1109">
                    <c:v>30قوس</c:v>
                  </c:pt>
                  <c:pt idx="1110">
                    <c:v>30قوس</c:v>
                  </c:pt>
                  <c:pt idx="1111">
                    <c:v>30قوس</c:v>
                  </c:pt>
                  <c:pt idx="1112">
                    <c:v>30قوس</c:v>
                  </c:pt>
                  <c:pt idx="1113">
                    <c:v>30قوس</c:v>
                  </c:pt>
                  <c:pt idx="1115">
                    <c:v> -   </c:v>
                  </c:pt>
                  <c:pt idx="1117">
                    <c:v>تاریخ ختم</c:v>
                  </c:pt>
                  <c:pt idx="1118">
                    <c:v>9/1397</c:v>
                  </c:pt>
                  <c:pt idx="1119">
                    <c:v>9/1397</c:v>
                  </c:pt>
                  <c:pt idx="1120">
                    <c:v>09/1397</c:v>
                  </c:pt>
                  <c:pt idx="1121">
                    <c:v>9/1397</c:v>
                  </c:pt>
                  <c:pt idx="1123">
                    <c:v>تاریخ ختم</c:v>
                  </c:pt>
                  <c:pt idx="1124">
                    <c:v>9/1397</c:v>
                  </c:pt>
                  <c:pt idx="1125">
                    <c:v>9/1397</c:v>
                  </c:pt>
                  <c:pt idx="1127">
                    <c:v>تاریخ ختم</c:v>
                  </c:pt>
                  <c:pt idx="1128">
                    <c:v>9/1397</c:v>
                  </c:pt>
                  <c:pt idx="1130">
                    <c:v> -   </c:v>
                  </c:pt>
                  <c:pt idx="1132">
                    <c:v>9/1397</c:v>
                  </c:pt>
                  <c:pt idx="1133">
                    <c:v>9/1397</c:v>
                  </c:pt>
                  <c:pt idx="1155">
                    <c:v>                منظور کننده             </c:v>
                  </c:pt>
                  <c:pt idx="1156">
                    <c:v>نصیراحمد درانی  </c:v>
                  </c:pt>
                  <c:pt idx="1157">
                    <c:v> وزیر زراعت، آبیاری ومالداری</c:v>
                  </c:pt>
                </c:lvl>
                <c:lvl>
                  <c:pt idx="2">
                    <c:v>کمیت</c:v>
                  </c:pt>
                  <c:pt idx="4">
                    <c:v>8</c:v>
                  </c:pt>
                  <c:pt idx="5">
                    <c:v>80</c:v>
                  </c:pt>
                  <c:pt idx="6">
                    <c:v>0</c:v>
                  </c:pt>
                  <c:pt idx="8">
                    <c:v>کمیت</c:v>
                  </c:pt>
                  <c:pt idx="9">
                    <c:v>10</c:v>
                  </c:pt>
                  <c:pt idx="10">
                    <c:v>100</c:v>
                  </c:pt>
                  <c:pt idx="13">
                    <c:v>کمیت</c:v>
                  </c:pt>
                  <c:pt idx="14">
                    <c:v>4</c:v>
                  </c:pt>
                  <c:pt idx="15">
                    <c:v>40</c:v>
                  </c:pt>
                  <c:pt idx="16">
                    <c:v>200</c:v>
                  </c:pt>
                  <c:pt idx="17">
                    <c:v>0</c:v>
                  </c:pt>
                  <c:pt idx="19">
                    <c:v>کمیت</c:v>
                  </c:pt>
                  <c:pt idx="20">
                    <c:v>4</c:v>
                  </c:pt>
                  <c:pt idx="21">
                    <c:v>40</c:v>
                  </c:pt>
                  <c:pt idx="24">
                    <c:v>کمیت</c:v>
                  </c:pt>
                  <c:pt idx="25">
                    <c:v>6</c:v>
                  </c:pt>
                  <c:pt idx="26">
                    <c:v>60</c:v>
                  </c:pt>
                  <c:pt idx="27">
                    <c:v>0</c:v>
                  </c:pt>
                  <c:pt idx="29">
                    <c:v>کمیت</c:v>
                  </c:pt>
                  <c:pt idx="30">
                    <c:v>2</c:v>
                  </c:pt>
                  <c:pt idx="33">
                    <c:v>کمیت</c:v>
                  </c:pt>
                  <c:pt idx="34">
                    <c:v>1</c:v>
                  </c:pt>
                  <c:pt idx="37">
                    <c:v>کمیت</c:v>
                  </c:pt>
                  <c:pt idx="38">
                    <c:v>1</c:v>
                  </c:pt>
                  <c:pt idx="41">
                    <c:v>کمیت</c:v>
                  </c:pt>
                  <c:pt idx="42">
                    <c:v>10</c:v>
                  </c:pt>
                  <c:pt idx="43">
                    <c:v>50</c:v>
                  </c:pt>
                  <c:pt idx="44">
                    <c:v>200</c:v>
                  </c:pt>
                  <c:pt idx="47">
                    <c:v>کمیت</c:v>
                  </c:pt>
                  <c:pt idx="48">
                    <c:v>18</c:v>
                  </c:pt>
                  <c:pt idx="49">
                    <c:v>180</c:v>
                  </c:pt>
                  <c:pt idx="50">
                    <c:v>5000</c:v>
                  </c:pt>
                  <c:pt idx="51">
                    <c:v>900</c:v>
                  </c:pt>
                  <c:pt idx="52">
                    <c:v>100</c:v>
                  </c:pt>
                  <c:pt idx="54">
                    <c:v>کمیت</c:v>
                  </c:pt>
                  <c:pt idx="55">
                    <c:v>4</c:v>
                  </c:pt>
                  <c:pt idx="56">
                    <c:v>40</c:v>
                  </c:pt>
                  <c:pt idx="59">
                    <c:v>کمیت</c:v>
                  </c:pt>
                  <c:pt idx="60">
                    <c:v>6</c:v>
                  </c:pt>
                  <c:pt idx="61">
                    <c:v>60</c:v>
                  </c:pt>
                  <c:pt idx="64">
                    <c:v>کمیت</c:v>
                  </c:pt>
                  <c:pt idx="65">
                    <c:v>2</c:v>
                  </c:pt>
                  <c:pt idx="70">
                    <c:v>تعداد</c:v>
                  </c:pt>
                  <c:pt idx="72">
                    <c:v>1</c:v>
                  </c:pt>
                  <c:pt idx="73">
                    <c:v>20</c:v>
                  </c:pt>
                  <c:pt idx="74">
                    <c:v>40</c:v>
                  </c:pt>
                  <c:pt idx="75">
                    <c:v>60</c:v>
                  </c:pt>
                  <c:pt idx="76">
                    <c:v>300</c:v>
                  </c:pt>
                  <c:pt idx="77">
                    <c:v>600000</c:v>
                  </c:pt>
                  <c:pt idx="78">
                    <c:v>10</c:v>
                  </c:pt>
                  <c:pt idx="79">
                    <c:v>50000</c:v>
                  </c:pt>
                  <c:pt idx="80">
                    <c:v>50000</c:v>
                  </c:pt>
                  <c:pt idx="81">
                    <c:v>15</c:v>
                  </c:pt>
                  <c:pt idx="82">
                    <c:v>12</c:v>
                  </c:pt>
                  <c:pt idx="83">
                    <c:v>50000</c:v>
                  </c:pt>
                  <c:pt idx="84">
                    <c:v>1</c:v>
                  </c:pt>
                  <c:pt idx="86">
                    <c:v>کمیت</c:v>
                  </c:pt>
                  <c:pt idx="87">
                    <c:v>40</c:v>
                  </c:pt>
                  <c:pt idx="88">
                    <c:v>1</c:v>
                  </c:pt>
                  <c:pt idx="89">
                    <c:v>1</c:v>
                  </c:pt>
                  <c:pt idx="90">
                    <c:v>66</c:v>
                  </c:pt>
                  <c:pt idx="91">
                    <c:v>76000</c:v>
                  </c:pt>
                  <c:pt idx="92">
                    <c:v>76000</c:v>
                  </c:pt>
                  <c:pt idx="93">
                    <c:v>66000</c:v>
                  </c:pt>
                  <c:pt idx="94">
                    <c:v>1</c:v>
                  </c:pt>
                  <c:pt idx="95">
                    <c:v>66000</c:v>
                  </c:pt>
                  <c:pt idx="96">
                    <c:v>66000</c:v>
                  </c:pt>
                  <c:pt idx="97">
                    <c:v>1320000</c:v>
                  </c:pt>
                  <c:pt idx="98">
                    <c:v>66000</c:v>
                  </c:pt>
                  <c:pt idx="99">
                    <c:v>40000</c:v>
                  </c:pt>
                  <c:pt idx="100">
                    <c:v>15</c:v>
                  </c:pt>
                  <c:pt idx="101">
                    <c:v>20000</c:v>
                  </c:pt>
                  <c:pt idx="102">
                    <c:v>200</c:v>
                  </c:pt>
                  <c:pt idx="103">
                    <c:v>20000</c:v>
                  </c:pt>
                  <c:pt idx="104">
                    <c:v> 1 </c:v>
                  </c:pt>
                  <c:pt idx="105">
                    <c:v> 10 </c:v>
                  </c:pt>
                  <c:pt idx="106">
                    <c:v>50000</c:v>
                  </c:pt>
                  <c:pt idx="107">
                    <c:v>50000</c:v>
                  </c:pt>
                  <c:pt idx="108">
                    <c:v>15</c:v>
                  </c:pt>
                  <c:pt idx="109">
                    <c:v>12</c:v>
                  </c:pt>
                  <c:pt idx="110">
                    <c:v>50000</c:v>
                  </c:pt>
                  <c:pt idx="111">
                    <c:v>200</c:v>
                  </c:pt>
                  <c:pt idx="112">
                    <c:v>1</c:v>
                  </c:pt>
                  <c:pt idx="114">
                    <c:v>کمیت</c:v>
                  </c:pt>
                  <c:pt idx="115">
                    <c:v>1</c:v>
                  </c:pt>
                  <c:pt idx="116">
                    <c:v>20</c:v>
                  </c:pt>
                  <c:pt idx="117">
                    <c:v>40</c:v>
                  </c:pt>
                  <c:pt idx="118">
                    <c:v>100</c:v>
                  </c:pt>
                  <c:pt idx="119">
                    <c:v>500</c:v>
                  </c:pt>
                  <c:pt idx="120">
                    <c:v>1000000</c:v>
                  </c:pt>
                  <c:pt idx="121">
                    <c:v>10</c:v>
                  </c:pt>
                  <c:pt idx="122">
                    <c:v>50000</c:v>
                  </c:pt>
                  <c:pt idx="123">
                    <c:v>50000</c:v>
                  </c:pt>
                  <c:pt idx="124">
                    <c:v>15</c:v>
                  </c:pt>
                  <c:pt idx="125">
                    <c:v>12</c:v>
                  </c:pt>
                  <c:pt idx="126">
                    <c:v>50000</c:v>
                  </c:pt>
                  <c:pt idx="127">
                    <c:v>1</c:v>
                  </c:pt>
                  <c:pt idx="129">
                    <c:v>کمیت</c:v>
                  </c:pt>
                  <c:pt idx="130">
                    <c:v>1</c:v>
                  </c:pt>
                  <c:pt idx="131">
                    <c:v>50</c:v>
                  </c:pt>
                  <c:pt idx="132">
                    <c:v>60000</c:v>
                  </c:pt>
                  <c:pt idx="133">
                    <c:v>60000</c:v>
                  </c:pt>
                  <c:pt idx="134">
                    <c:v>50000</c:v>
                  </c:pt>
                  <c:pt idx="135">
                    <c:v>1</c:v>
                  </c:pt>
                  <c:pt idx="136">
                    <c:v>50000</c:v>
                  </c:pt>
                  <c:pt idx="137">
                    <c:v>50000</c:v>
                  </c:pt>
                  <c:pt idx="138">
                    <c:v>1000000</c:v>
                  </c:pt>
                  <c:pt idx="139">
                    <c:v>50000</c:v>
                  </c:pt>
                  <c:pt idx="140">
                    <c:v>40000</c:v>
                  </c:pt>
                  <c:pt idx="141">
                    <c:v>15</c:v>
                  </c:pt>
                  <c:pt idx="142">
                    <c:v>20000</c:v>
                  </c:pt>
                  <c:pt idx="143">
                    <c:v>200</c:v>
                  </c:pt>
                  <c:pt idx="144">
                    <c:v>20000</c:v>
                  </c:pt>
                  <c:pt idx="145">
                    <c:v> 1 </c:v>
                  </c:pt>
                  <c:pt idx="146">
                    <c:v> 10 </c:v>
                  </c:pt>
                  <c:pt idx="147">
                    <c:v>50000</c:v>
                  </c:pt>
                  <c:pt idx="148">
                    <c:v>50000</c:v>
                  </c:pt>
                  <c:pt idx="149">
                    <c:v>50000</c:v>
                  </c:pt>
                  <c:pt idx="150">
                    <c:v>10</c:v>
                  </c:pt>
                  <c:pt idx="151">
                    <c:v>12</c:v>
                  </c:pt>
                  <c:pt idx="152">
                    <c:v>100000</c:v>
                  </c:pt>
                  <c:pt idx="153">
                    <c:v>2</c:v>
                  </c:pt>
                  <c:pt idx="154">
                    <c:v>200</c:v>
                  </c:pt>
                  <c:pt idx="155">
                    <c:v>1</c:v>
                  </c:pt>
                  <c:pt idx="157">
                    <c:v>کمیت</c:v>
                  </c:pt>
                  <c:pt idx="158">
                    <c:v> 1 </c:v>
                  </c:pt>
                  <c:pt idx="159">
                    <c:v> 20 </c:v>
                  </c:pt>
                  <c:pt idx="160">
                    <c:v>40</c:v>
                  </c:pt>
                  <c:pt idx="161">
                    <c:v>100</c:v>
                  </c:pt>
                  <c:pt idx="162">
                    <c:v>500</c:v>
                  </c:pt>
                  <c:pt idx="163">
                    <c:v>1000000</c:v>
                  </c:pt>
                  <c:pt idx="164">
                    <c:v>20</c:v>
                  </c:pt>
                  <c:pt idx="165">
                    <c:v> 100,000 </c:v>
                  </c:pt>
                  <c:pt idx="166">
                    <c:v> 100,000 </c:v>
                  </c:pt>
                  <c:pt idx="167">
                    <c:v> 30 </c:v>
                  </c:pt>
                  <c:pt idx="168">
                    <c:v> 24 </c:v>
                  </c:pt>
                  <c:pt idx="169">
                    <c:v> 100,000 </c:v>
                  </c:pt>
                  <c:pt idx="170">
                    <c:v> 1 </c:v>
                  </c:pt>
                  <c:pt idx="172">
                    <c:v>کمیت</c:v>
                  </c:pt>
                  <c:pt idx="173">
                    <c:v>40</c:v>
                  </c:pt>
                  <c:pt idx="174">
                    <c:v> 1 </c:v>
                  </c:pt>
                  <c:pt idx="175">
                    <c:v> 1 </c:v>
                  </c:pt>
                  <c:pt idx="176">
                    <c:v> 40,000 </c:v>
                  </c:pt>
                  <c:pt idx="177">
                    <c:v> 1 </c:v>
                  </c:pt>
                  <c:pt idx="178">
                    <c:v> 1 </c:v>
                  </c:pt>
                  <c:pt idx="180">
                    <c:v>کمیت</c:v>
                  </c:pt>
                  <c:pt idx="181">
                    <c:v>40</c:v>
                  </c:pt>
                  <c:pt idx="182">
                    <c:v> 1 </c:v>
                  </c:pt>
                  <c:pt idx="183">
                    <c:v> 1 </c:v>
                  </c:pt>
                  <c:pt idx="184">
                    <c:v> 40,000 </c:v>
                  </c:pt>
                  <c:pt idx="185">
                    <c:v> 1 </c:v>
                  </c:pt>
                  <c:pt idx="187">
                    <c:v>کمیت</c:v>
                  </c:pt>
                  <c:pt idx="188">
                    <c:v> 1 </c:v>
                  </c:pt>
                  <c:pt idx="189">
                    <c:v> 1 </c:v>
                  </c:pt>
                  <c:pt idx="190">
                    <c:v> 1 </c:v>
                  </c:pt>
                  <c:pt idx="191">
                    <c:v> 20 </c:v>
                  </c:pt>
                  <c:pt idx="192">
                    <c:v>50</c:v>
                  </c:pt>
                  <c:pt idx="193">
                    <c:v>60000</c:v>
                  </c:pt>
                  <c:pt idx="194">
                    <c:v>60000</c:v>
                  </c:pt>
                  <c:pt idx="195">
                    <c:v>50000</c:v>
                  </c:pt>
                  <c:pt idx="196">
                    <c:v>1</c:v>
                  </c:pt>
                  <c:pt idx="197">
                    <c:v>50000</c:v>
                  </c:pt>
                  <c:pt idx="198">
                    <c:v>50000</c:v>
                  </c:pt>
                  <c:pt idx="199">
                    <c:v>1000000</c:v>
                  </c:pt>
                  <c:pt idx="200">
                    <c:v>50000</c:v>
                  </c:pt>
                  <c:pt idx="201">
                    <c:v>40000</c:v>
                  </c:pt>
                  <c:pt idx="202">
                    <c:v>15</c:v>
                  </c:pt>
                  <c:pt idx="203">
                    <c:v>20000</c:v>
                  </c:pt>
                  <c:pt idx="204">
                    <c:v>200</c:v>
                  </c:pt>
                  <c:pt idx="205">
                    <c:v>20000</c:v>
                  </c:pt>
                  <c:pt idx="206">
                    <c:v> 1 </c:v>
                  </c:pt>
                  <c:pt idx="207">
                    <c:v> 10 </c:v>
                  </c:pt>
                  <c:pt idx="208">
                    <c:v> 50,000 </c:v>
                  </c:pt>
                  <c:pt idx="209">
                    <c:v> 50,000 </c:v>
                  </c:pt>
                  <c:pt idx="210">
                    <c:v> 50,000 </c:v>
                  </c:pt>
                  <c:pt idx="211">
                    <c:v> 15 </c:v>
                  </c:pt>
                  <c:pt idx="212">
                    <c:v> 12 </c:v>
                  </c:pt>
                  <c:pt idx="213">
                    <c:v> 200 </c:v>
                  </c:pt>
                  <c:pt idx="214">
                    <c:v> 1 </c:v>
                  </c:pt>
                  <c:pt idx="216">
                    <c:v>کمیت</c:v>
                  </c:pt>
                  <c:pt idx="217">
                    <c:v>1</c:v>
                  </c:pt>
                  <c:pt idx="218">
                    <c:v>40</c:v>
                  </c:pt>
                  <c:pt idx="219">
                    <c:v>50</c:v>
                  </c:pt>
                  <c:pt idx="220">
                    <c:v>60000</c:v>
                  </c:pt>
                  <c:pt idx="221">
                    <c:v>60000</c:v>
                  </c:pt>
                  <c:pt idx="222">
                    <c:v>50000</c:v>
                  </c:pt>
                  <c:pt idx="223">
                    <c:v>1</c:v>
                  </c:pt>
                  <c:pt idx="224">
                    <c:v>50000</c:v>
                  </c:pt>
                  <c:pt idx="225">
                    <c:v>50000</c:v>
                  </c:pt>
                  <c:pt idx="226">
                    <c:v>1000000</c:v>
                  </c:pt>
                  <c:pt idx="227">
                    <c:v>50000</c:v>
                  </c:pt>
                  <c:pt idx="228">
                    <c:v>40000</c:v>
                  </c:pt>
                  <c:pt idx="229">
                    <c:v>15</c:v>
                  </c:pt>
                  <c:pt idx="230">
                    <c:v>20000</c:v>
                  </c:pt>
                  <c:pt idx="231">
                    <c:v>200</c:v>
                  </c:pt>
                  <c:pt idx="232">
                    <c:v>20000</c:v>
                  </c:pt>
                  <c:pt idx="233">
                    <c:v> 1 </c:v>
                  </c:pt>
                  <c:pt idx="234">
                    <c:v>200</c:v>
                  </c:pt>
                  <c:pt idx="235">
                    <c:v>1</c:v>
                  </c:pt>
                  <c:pt idx="237">
                    <c:v>کمیت</c:v>
                  </c:pt>
                  <c:pt idx="238">
                    <c:v>1</c:v>
                  </c:pt>
                  <c:pt idx="239">
                    <c:v>1</c:v>
                  </c:pt>
                  <c:pt idx="240">
                    <c:v>100</c:v>
                  </c:pt>
                  <c:pt idx="241">
                    <c:v>500</c:v>
                  </c:pt>
                  <c:pt idx="242">
                    <c:v>1000000</c:v>
                  </c:pt>
                  <c:pt idx="243">
                    <c:v>1</c:v>
                  </c:pt>
                  <c:pt idx="245">
                    <c:v>کمیت</c:v>
                  </c:pt>
                  <c:pt idx="246">
                    <c:v>1</c:v>
                  </c:pt>
                  <c:pt idx="247">
                    <c:v>1</c:v>
                  </c:pt>
                  <c:pt idx="248">
                    <c:v>100</c:v>
                  </c:pt>
                  <c:pt idx="249">
                    <c:v>500</c:v>
                  </c:pt>
                  <c:pt idx="250">
                    <c:v>1000000</c:v>
                  </c:pt>
                  <c:pt idx="251">
                    <c:v>1</c:v>
                  </c:pt>
                  <c:pt idx="253">
                    <c:v>کمیت</c:v>
                  </c:pt>
                  <c:pt idx="254">
                    <c:v>1</c:v>
                  </c:pt>
                  <c:pt idx="255">
                    <c:v>20</c:v>
                  </c:pt>
                  <c:pt idx="256">
                    <c:v>100</c:v>
                  </c:pt>
                  <c:pt idx="257">
                    <c:v>500</c:v>
                  </c:pt>
                  <c:pt idx="258">
                    <c:v>1000000</c:v>
                  </c:pt>
                  <c:pt idx="259">
                    <c:v>1</c:v>
                  </c:pt>
                  <c:pt idx="261">
                    <c:v>کمیت</c:v>
                  </c:pt>
                  <c:pt idx="262">
                    <c:v>1</c:v>
                  </c:pt>
                  <c:pt idx="263">
                    <c:v>20</c:v>
                  </c:pt>
                  <c:pt idx="264">
                    <c:v>100</c:v>
                  </c:pt>
                  <c:pt idx="265">
                    <c:v>500</c:v>
                  </c:pt>
                  <c:pt idx="266">
                    <c:v>1000000</c:v>
                  </c:pt>
                  <c:pt idx="267">
                    <c:v>1</c:v>
                  </c:pt>
                  <c:pt idx="269">
                    <c:v>کمیت</c:v>
                  </c:pt>
                  <c:pt idx="270">
                    <c:v>1</c:v>
                  </c:pt>
                  <c:pt idx="271">
                    <c:v>20</c:v>
                  </c:pt>
                  <c:pt idx="272">
                    <c:v>100</c:v>
                  </c:pt>
                  <c:pt idx="273">
                    <c:v>500</c:v>
                  </c:pt>
                  <c:pt idx="274">
                    <c:v>1000000</c:v>
                  </c:pt>
                  <c:pt idx="275">
                    <c:v>20</c:v>
                  </c:pt>
                  <c:pt idx="276">
                    <c:v> 100,000 </c:v>
                  </c:pt>
                  <c:pt idx="277">
                    <c:v> 100,000 </c:v>
                  </c:pt>
                  <c:pt idx="278">
                    <c:v> 30 </c:v>
                  </c:pt>
                  <c:pt idx="279">
                    <c:v> 24 </c:v>
                  </c:pt>
                  <c:pt idx="280">
                    <c:v> 100,000 </c:v>
                  </c:pt>
                  <c:pt idx="281">
                    <c:v>1</c:v>
                  </c:pt>
                  <c:pt idx="283">
                    <c:v>کمیت</c:v>
                  </c:pt>
                  <c:pt idx="284">
                    <c:v>1</c:v>
                  </c:pt>
                  <c:pt idx="285">
                    <c:v>20</c:v>
                  </c:pt>
                  <c:pt idx="286">
                    <c:v>100</c:v>
                  </c:pt>
                  <c:pt idx="287">
                    <c:v>500</c:v>
                  </c:pt>
                  <c:pt idx="288">
                    <c:v>1000000</c:v>
                  </c:pt>
                  <c:pt idx="289">
                    <c:v>10</c:v>
                  </c:pt>
                  <c:pt idx="290">
                    <c:v> 50,000 </c:v>
                  </c:pt>
                  <c:pt idx="291">
                    <c:v> 50,000 </c:v>
                  </c:pt>
                  <c:pt idx="292">
                    <c:v> 15 </c:v>
                  </c:pt>
                  <c:pt idx="293">
                    <c:v> 24 </c:v>
                  </c:pt>
                  <c:pt idx="294">
                    <c:v> 50,000 </c:v>
                  </c:pt>
                  <c:pt idx="295">
                    <c:v>1</c:v>
                  </c:pt>
                  <c:pt idx="297">
                    <c:v>1</c:v>
                  </c:pt>
                  <c:pt idx="298">
                    <c:v>1</c:v>
                  </c:pt>
                  <c:pt idx="302">
                    <c:v>کمیت</c:v>
                  </c:pt>
                  <c:pt idx="303">
                    <c:v>2000</c:v>
                  </c:pt>
                  <c:pt idx="304">
                    <c:v>6000</c:v>
                  </c:pt>
                  <c:pt idx="305">
                    <c:v>287</c:v>
                  </c:pt>
                  <c:pt idx="306">
                    <c:v>20</c:v>
                  </c:pt>
                  <c:pt idx="307">
                    <c:v>10000</c:v>
                  </c:pt>
                  <c:pt idx="308">
                    <c:v>2000</c:v>
                  </c:pt>
                  <c:pt idx="309">
                    <c:v>1</c:v>
                  </c:pt>
                  <c:pt idx="311">
                    <c:v>10000</c:v>
                  </c:pt>
                  <c:pt idx="312">
                    <c:v>6000</c:v>
                  </c:pt>
                  <c:pt idx="313">
                    <c:v>250</c:v>
                  </c:pt>
                  <c:pt idx="314">
                    <c:v>11</c:v>
                  </c:pt>
                  <c:pt idx="315">
                    <c:v>10000</c:v>
                  </c:pt>
                  <c:pt idx="316">
                    <c:v>2000</c:v>
                  </c:pt>
                  <c:pt idx="317">
                    <c:v>1</c:v>
                  </c:pt>
                  <c:pt idx="319">
                    <c:v>10000</c:v>
                  </c:pt>
                  <c:pt idx="320">
                    <c:v>2000</c:v>
                  </c:pt>
                  <c:pt idx="321">
                    <c:v>6000</c:v>
                  </c:pt>
                  <c:pt idx="322">
                    <c:v>300</c:v>
                  </c:pt>
                  <c:pt idx="323">
                    <c:v>20</c:v>
                  </c:pt>
                  <c:pt idx="324">
                    <c:v>10000</c:v>
                  </c:pt>
                  <c:pt idx="325">
                    <c:v>1</c:v>
                  </c:pt>
                  <c:pt idx="327">
                    <c:v>60000</c:v>
                  </c:pt>
                  <c:pt idx="328">
                    <c:v>1000</c:v>
                  </c:pt>
                  <c:pt idx="329">
                    <c:v>500</c:v>
                  </c:pt>
                  <c:pt idx="330">
                    <c:v>4000</c:v>
                  </c:pt>
                  <c:pt idx="331">
                    <c:v>1</c:v>
                  </c:pt>
                  <c:pt idx="332">
                    <c:v>1</c:v>
                  </c:pt>
                  <c:pt idx="334">
                    <c:v>8000</c:v>
                  </c:pt>
                  <c:pt idx="335">
                    <c:v>2000</c:v>
                  </c:pt>
                  <c:pt idx="336">
                    <c:v>6000</c:v>
                  </c:pt>
                  <c:pt idx="337">
                    <c:v>250</c:v>
                  </c:pt>
                  <c:pt idx="338">
                    <c:v>12</c:v>
                  </c:pt>
                  <c:pt idx="339">
                    <c:v>1</c:v>
                  </c:pt>
                  <c:pt idx="340">
                    <c:v>1</c:v>
                  </c:pt>
                  <c:pt idx="342">
                    <c:v>8000</c:v>
                  </c:pt>
                  <c:pt idx="346">
                    <c:v>1</c:v>
                  </c:pt>
                  <c:pt idx="348">
                    <c:v>40000</c:v>
                  </c:pt>
                  <c:pt idx="349">
                    <c:v>4000</c:v>
                  </c:pt>
                  <c:pt idx="350">
                    <c:v>20000</c:v>
                  </c:pt>
                  <c:pt idx="351">
                    <c:v>14000</c:v>
                  </c:pt>
                  <c:pt idx="352">
                    <c:v>300</c:v>
                  </c:pt>
                  <c:pt idx="353">
                    <c:v>20</c:v>
                  </c:pt>
                  <c:pt idx="354">
                    <c:v>15000</c:v>
                  </c:pt>
                  <c:pt idx="355">
                    <c:v>1</c:v>
                  </c:pt>
                  <c:pt idx="357">
                    <c:v>6000</c:v>
                  </c:pt>
                  <c:pt idx="358">
                    <c:v>4000</c:v>
                  </c:pt>
                  <c:pt idx="359">
                    <c:v>300</c:v>
                  </c:pt>
                  <c:pt idx="360">
                    <c:v>15</c:v>
                  </c:pt>
                  <c:pt idx="361">
                    <c:v>2000</c:v>
                  </c:pt>
                  <c:pt idx="362">
                    <c:v>1</c:v>
                  </c:pt>
                  <c:pt idx="363">
                    <c:v>1</c:v>
                  </c:pt>
                  <c:pt idx="365">
                    <c:v>10000</c:v>
                  </c:pt>
                  <c:pt idx="366">
                    <c:v>2000</c:v>
                  </c:pt>
                  <c:pt idx="367">
                    <c:v>12000</c:v>
                  </c:pt>
                  <c:pt idx="368">
                    <c:v>300</c:v>
                  </c:pt>
                  <c:pt idx="369">
                    <c:v>15</c:v>
                  </c:pt>
                  <c:pt idx="370">
                    <c:v>20000</c:v>
                  </c:pt>
                  <c:pt idx="371">
                    <c:v>1</c:v>
                  </c:pt>
                  <c:pt idx="373">
                    <c:v>12000</c:v>
                  </c:pt>
                  <c:pt idx="374">
                    <c:v>2000</c:v>
                  </c:pt>
                  <c:pt idx="375">
                    <c:v>20000</c:v>
                  </c:pt>
                  <c:pt idx="376">
                    <c:v>10000</c:v>
                  </c:pt>
                  <c:pt idx="377">
                    <c:v>300</c:v>
                  </c:pt>
                  <c:pt idx="378">
                    <c:v>12</c:v>
                  </c:pt>
                  <c:pt idx="379">
                    <c:v>10000</c:v>
                  </c:pt>
                  <c:pt idx="380">
                    <c:v>1</c:v>
                  </c:pt>
                  <c:pt idx="382">
                    <c:v>10000</c:v>
                  </c:pt>
                  <c:pt idx="383">
                    <c:v>2000</c:v>
                  </c:pt>
                  <c:pt idx="384">
                    <c:v>10000</c:v>
                  </c:pt>
                  <c:pt idx="385">
                    <c:v>300</c:v>
                  </c:pt>
                  <c:pt idx="386">
                    <c:v>20</c:v>
                  </c:pt>
                  <c:pt idx="387">
                    <c:v>10000</c:v>
                  </c:pt>
                  <c:pt idx="388">
                    <c:v>1</c:v>
                  </c:pt>
                  <c:pt idx="390">
                    <c:v>12000</c:v>
                  </c:pt>
                  <c:pt idx="391">
                    <c:v>2000</c:v>
                  </c:pt>
                  <c:pt idx="392">
                    <c:v>10000</c:v>
                  </c:pt>
                  <c:pt idx="393">
                    <c:v>250</c:v>
                  </c:pt>
                  <c:pt idx="394">
                    <c:v>15</c:v>
                  </c:pt>
                  <c:pt idx="395">
                    <c:v>1</c:v>
                  </c:pt>
                  <c:pt idx="396">
                    <c:v>1</c:v>
                  </c:pt>
                  <c:pt idx="398">
                    <c:v>12000</c:v>
                  </c:pt>
                  <c:pt idx="399">
                    <c:v>2000</c:v>
                  </c:pt>
                  <c:pt idx="400">
                    <c:v>10000</c:v>
                  </c:pt>
                  <c:pt idx="401">
                    <c:v>15000</c:v>
                  </c:pt>
                  <c:pt idx="402">
                    <c:v>300</c:v>
                  </c:pt>
                  <c:pt idx="403">
                    <c:v>11</c:v>
                  </c:pt>
                  <c:pt idx="404">
                    <c:v>10000</c:v>
                  </c:pt>
                  <c:pt idx="405">
                    <c:v>1</c:v>
                  </c:pt>
                  <c:pt idx="406">
                    <c:v>1</c:v>
                  </c:pt>
                  <c:pt idx="408">
                    <c:v>10000</c:v>
                  </c:pt>
                  <c:pt idx="409">
                    <c:v>6000</c:v>
                  </c:pt>
                  <c:pt idx="410">
                    <c:v>250</c:v>
                  </c:pt>
                  <c:pt idx="411">
                    <c:v>15</c:v>
                  </c:pt>
                  <c:pt idx="412">
                    <c:v>2000</c:v>
                  </c:pt>
                  <c:pt idx="413">
                    <c:v>1</c:v>
                  </c:pt>
                  <c:pt idx="414">
                    <c:v>1</c:v>
                  </c:pt>
                  <c:pt idx="416">
                    <c:v>20000</c:v>
                  </c:pt>
                  <c:pt idx="417">
                    <c:v>250</c:v>
                  </c:pt>
                  <c:pt idx="418">
                    <c:v>10</c:v>
                  </c:pt>
                  <c:pt idx="419">
                    <c:v>2000</c:v>
                  </c:pt>
                  <c:pt idx="420">
                    <c:v>1</c:v>
                  </c:pt>
                  <c:pt idx="421">
                    <c:v>1</c:v>
                  </c:pt>
                  <c:pt idx="423">
                    <c:v>30000</c:v>
                  </c:pt>
                  <c:pt idx="424">
                    <c:v>4000</c:v>
                  </c:pt>
                  <c:pt idx="425">
                    <c:v>40000</c:v>
                  </c:pt>
                  <c:pt idx="426">
                    <c:v>14000</c:v>
                  </c:pt>
                  <c:pt idx="427">
                    <c:v>300</c:v>
                  </c:pt>
                  <c:pt idx="428">
                    <c:v>20</c:v>
                  </c:pt>
                  <c:pt idx="429">
                    <c:v>15000</c:v>
                  </c:pt>
                  <c:pt idx="430">
                    <c:v>10000</c:v>
                  </c:pt>
                  <c:pt idx="431">
                    <c:v>10000</c:v>
                  </c:pt>
                  <c:pt idx="432">
                    <c:v>10000</c:v>
                  </c:pt>
                  <c:pt idx="433">
                    <c:v>1</c:v>
                  </c:pt>
                  <c:pt idx="434">
                    <c:v>1</c:v>
                  </c:pt>
                  <c:pt idx="435">
                    <c:v>35</c:v>
                  </c:pt>
                  <c:pt idx="436">
                    <c:v>10000</c:v>
                  </c:pt>
                  <c:pt idx="437">
                    <c:v>1</c:v>
                  </c:pt>
                  <c:pt idx="439">
                    <c:v>8000</c:v>
                  </c:pt>
                  <c:pt idx="440">
                    <c:v>6000</c:v>
                  </c:pt>
                  <c:pt idx="441">
                    <c:v>250</c:v>
                  </c:pt>
                  <c:pt idx="442">
                    <c:v>10</c:v>
                  </c:pt>
                  <c:pt idx="443">
                    <c:v>10000</c:v>
                  </c:pt>
                  <c:pt idx="444">
                    <c:v>2000</c:v>
                  </c:pt>
                  <c:pt idx="445">
                    <c:v>1</c:v>
                  </c:pt>
                  <c:pt idx="447">
                    <c:v>8000</c:v>
                  </c:pt>
                  <c:pt idx="448">
                    <c:v>30000</c:v>
                  </c:pt>
                  <c:pt idx="449">
                    <c:v>10000</c:v>
                  </c:pt>
                  <c:pt idx="450">
                    <c:v>300</c:v>
                  </c:pt>
                  <c:pt idx="451">
                    <c:v>15</c:v>
                  </c:pt>
                  <c:pt idx="452">
                    <c:v>10000</c:v>
                  </c:pt>
                  <c:pt idx="453">
                    <c:v>2000</c:v>
                  </c:pt>
                  <c:pt idx="454">
                    <c:v>1</c:v>
                  </c:pt>
                  <c:pt idx="456">
                    <c:v>16000</c:v>
                  </c:pt>
                  <c:pt idx="457">
                    <c:v>4000</c:v>
                  </c:pt>
                  <c:pt idx="458">
                    <c:v>12000</c:v>
                  </c:pt>
                  <c:pt idx="459">
                    <c:v>350</c:v>
                  </c:pt>
                  <c:pt idx="460">
                    <c:v>15</c:v>
                  </c:pt>
                  <c:pt idx="461">
                    <c:v>30000</c:v>
                  </c:pt>
                  <c:pt idx="462">
                    <c:v>1</c:v>
                  </c:pt>
                  <c:pt idx="464">
                    <c:v>12000</c:v>
                  </c:pt>
                  <c:pt idx="465">
                    <c:v>2000</c:v>
                  </c:pt>
                  <c:pt idx="466">
                    <c:v>20000</c:v>
                  </c:pt>
                  <c:pt idx="467">
                    <c:v>12000</c:v>
                  </c:pt>
                  <c:pt idx="468">
                    <c:v>300</c:v>
                  </c:pt>
                  <c:pt idx="469">
                    <c:v>15</c:v>
                  </c:pt>
                  <c:pt idx="470">
                    <c:v>10000</c:v>
                  </c:pt>
                  <c:pt idx="471">
                    <c:v>1</c:v>
                  </c:pt>
                  <c:pt idx="473">
                    <c:v>12000</c:v>
                  </c:pt>
                  <c:pt idx="474">
                    <c:v>10000</c:v>
                  </c:pt>
                  <c:pt idx="475">
                    <c:v>350</c:v>
                  </c:pt>
                  <c:pt idx="476">
                    <c:v>15</c:v>
                  </c:pt>
                  <c:pt idx="477">
                    <c:v>10000</c:v>
                  </c:pt>
                  <c:pt idx="478">
                    <c:v>2000</c:v>
                  </c:pt>
                  <c:pt idx="479">
                    <c:v>1</c:v>
                  </c:pt>
                  <c:pt idx="481">
                    <c:v>20000</c:v>
                  </c:pt>
                  <c:pt idx="482">
                    <c:v>12000</c:v>
                  </c:pt>
                  <c:pt idx="483">
                    <c:v>300</c:v>
                  </c:pt>
                  <c:pt idx="484">
                    <c:v>15</c:v>
                  </c:pt>
                  <c:pt idx="485">
                    <c:v>12000</c:v>
                  </c:pt>
                  <c:pt idx="486">
                    <c:v>4000</c:v>
                  </c:pt>
                  <c:pt idx="487">
                    <c:v>1</c:v>
                  </c:pt>
                  <c:pt idx="489">
                    <c:v>16000</c:v>
                  </c:pt>
                  <c:pt idx="490">
                    <c:v>12000</c:v>
                  </c:pt>
                  <c:pt idx="491">
                    <c:v>300</c:v>
                  </c:pt>
                  <c:pt idx="492">
                    <c:v>15</c:v>
                  </c:pt>
                  <c:pt idx="493">
                    <c:v>10000</c:v>
                  </c:pt>
                  <c:pt idx="494">
                    <c:v>2000</c:v>
                  </c:pt>
                  <c:pt idx="495">
                    <c:v>1</c:v>
                  </c:pt>
                  <c:pt idx="497">
                    <c:v>30000</c:v>
                  </c:pt>
                  <c:pt idx="498">
                    <c:v>10000</c:v>
                  </c:pt>
                  <c:pt idx="499">
                    <c:v>300</c:v>
                  </c:pt>
                  <c:pt idx="500">
                    <c:v>15</c:v>
                  </c:pt>
                  <c:pt idx="501">
                    <c:v>10000</c:v>
                  </c:pt>
                  <c:pt idx="502">
                    <c:v>4000</c:v>
                  </c:pt>
                  <c:pt idx="503">
                    <c:v>1</c:v>
                  </c:pt>
                  <c:pt idx="505">
                    <c:v>28000</c:v>
                  </c:pt>
                  <c:pt idx="506">
                    <c:v>4000</c:v>
                  </c:pt>
                  <c:pt idx="507">
                    <c:v>12000</c:v>
                  </c:pt>
                  <c:pt idx="508">
                    <c:v>300</c:v>
                  </c:pt>
                  <c:pt idx="509">
                    <c:v>15</c:v>
                  </c:pt>
                  <c:pt idx="510">
                    <c:v>20000</c:v>
                  </c:pt>
                  <c:pt idx="511">
                    <c:v>1</c:v>
                  </c:pt>
                  <c:pt idx="513">
                    <c:v>4000</c:v>
                  </c:pt>
                  <c:pt idx="514">
                    <c:v>2000</c:v>
                  </c:pt>
                  <c:pt idx="515">
                    <c:v>300</c:v>
                  </c:pt>
                  <c:pt idx="516">
                    <c:v>10</c:v>
                  </c:pt>
                  <c:pt idx="517">
                    <c:v>10</c:v>
                  </c:pt>
                  <c:pt idx="518">
                    <c:v>1</c:v>
                  </c:pt>
                  <c:pt idx="520">
                    <c:v>16000</c:v>
                  </c:pt>
                  <c:pt idx="521">
                    <c:v>2000</c:v>
                  </c:pt>
                  <c:pt idx="522">
                    <c:v>12000</c:v>
                  </c:pt>
                  <c:pt idx="523">
                    <c:v>300</c:v>
                  </c:pt>
                  <c:pt idx="524">
                    <c:v>12</c:v>
                  </c:pt>
                  <c:pt idx="525">
                    <c:v>10000</c:v>
                  </c:pt>
                  <c:pt idx="526">
                    <c:v>1</c:v>
                  </c:pt>
                  <c:pt idx="528">
                    <c:v>14000</c:v>
                  </c:pt>
                  <c:pt idx="529">
                    <c:v>2000</c:v>
                  </c:pt>
                  <c:pt idx="530">
                    <c:v>10000</c:v>
                  </c:pt>
                  <c:pt idx="531">
                    <c:v>340</c:v>
                  </c:pt>
                  <c:pt idx="532">
                    <c:v>12</c:v>
                  </c:pt>
                  <c:pt idx="533">
                    <c:v>10000</c:v>
                  </c:pt>
                  <c:pt idx="534">
                    <c:v>1</c:v>
                  </c:pt>
                  <c:pt idx="538">
                    <c:v>کمیت</c:v>
                  </c:pt>
                  <c:pt idx="539">
                    <c:v>4</c:v>
                  </c:pt>
                  <c:pt idx="540">
                    <c:v>10</c:v>
                  </c:pt>
                  <c:pt idx="541">
                    <c:v>1000</c:v>
                  </c:pt>
                  <c:pt idx="542">
                    <c:v>1</c:v>
                  </c:pt>
                  <c:pt idx="544">
                    <c:v>کمیت</c:v>
                  </c:pt>
                  <c:pt idx="545">
                    <c:v>1</c:v>
                  </c:pt>
                  <c:pt idx="546">
                    <c:v>15</c:v>
                  </c:pt>
                  <c:pt idx="548">
                    <c:v>کمیت</c:v>
                  </c:pt>
                  <c:pt idx="549">
                    <c:v>9</c:v>
                  </c:pt>
                  <c:pt idx="553">
                    <c:v>1</c:v>
                  </c:pt>
                  <c:pt idx="581">
                    <c:v>معیاد </c:v>
                  </c:pt>
                  <c:pt idx="582">
                    <c:v>تاریخ آغاز</c:v>
                  </c:pt>
                  <c:pt idx="583">
                    <c:v>1396/10/1</c:v>
                  </c:pt>
                  <c:pt idx="584">
                    <c:v>1396/10/1</c:v>
                  </c:pt>
                  <c:pt idx="585">
                    <c:v>1396/10/1</c:v>
                  </c:pt>
                  <c:pt idx="587">
                    <c:v>تاریخ آغاز</c:v>
                  </c:pt>
                  <c:pt idx="588">
                    <c:v>1396/10/1</c:v>
                  </c:pt>
                  <c:pt idx="589">
                    <c:v>1396/10/1</c:v>
                  </c:pt>
                  <c:pt idx="590">
                    <c:v>1396/10/1</c:v>
                  </c:pt>
                  <c:pt idx="592">
                    <c:v>تاریخ آغاز</c:v>
                  </c:pt>
                  <c:pt idx="593">
                    <c:v>1396/10/1</c:v>
                  </c:pt>
                  <c:pt idx="594">
                    <c:v>1396/10/1</c:v>
                  </c:pt>
                  <c:pt idx="595">
                    <c:v>1396/10/1</c:v>
                  </c:pt>
                  <c:pt idx="596">
                    <c:v>1396/10/1</c:v>
                  </c:pt>
                  <c:pt idx="598">
                    <c:v>تاریخ آغاز</c:v>
                  </c:pt>
                  <c:pt idx="599">
                    <c:v>1396/10/1</c:v>
                  </c:pt>
                  <c:pt idx="600">
                    <c:v>1396/10/1</c:v>
                  </c:pt>
                  <c:pt idx="601">
                    <c:v>1396/10/1</c:v>
                  </c:pt>
                  <c:pt idx="603">
                    <c:v>تاریخ آغاز</c:v>
                  </c:pt>
                  <c:pt idx="604">
                    <c:v>1396/10/1</c:v>
                  </c:pt>
                  <c:pt idx="605">
                    <c:v>1396/10/1</c:v>
                  </c:pt>
                  <c:pt idx="606">
                    <c:v>1396/10/1</c:v>
                  </c:pt>
                  <c:pt idx="608">
                    <c:v>تاریخ آغاز</c:v>
                  </c:pt>
                  <c:pt idx="609">
                    <c:v>1396/10/1</c:v>
                  </c:pt>
                  <c:pt idx="610">
                    <c:v>1396/10/1</c:v>
                  </c:pt>
                  <c:pt idx="612">
                    <c:v>تاریخ آغاز</c:v>
                  </c:pt>
                  <c:pt idx="613">
                    <c:v>1396/10/1</c:v>
                  </c:pt>
                  <c:pt idx="614">
                    <c:v>1396/10/1</c:v>
                  </c:pt>
                  <c:pt idx="616">
                    <c:v>تاریخ آغاز</c:v>
                  </c:pt>
                  <c:pt idx="617">
                    <c:v>1396/10/1</c:v>
                  </c:pt>
                  <c:pt idx="618">
                    <c:v>1396/10/1</c:v>
                  </c:pt>
                  <c:pt idx="620">
                    <c:v>تاریخ آغاز</c:v>
                  </c:pt>
                  <c:pt idx="621">
                    <c:v>1396/10/1</c:v>
                  </c:pt>
                  <c:pt idx="622">
                    <c:v>1396/10/1</c:v>
                  </c:pt>
                  <c:pt idx="623">
                    <c:v>1396/10/1</c:v>
                  </c:pt>
                  <c:pt idx="624">
                    <c:v>1396/10/1</c:v>
                  </c:pt>
                  <c:pt idx="626">
                    <c:v>تاریخ آغاز</c:v>
                  </c:pt>
                  <c:pt idx="627">
                    <c:v>1396/10/1</c:v>
                  </c:pt>
                  <c:pt idx="628">
                    <c:v>1396/10/1</c:v>
                  </c:pt>
                  <c:pt idx="629">
                    <c:v>1396/10/1</c:v>
                  </c:pt>
                  <c:pt idx="630">
                    <c:v>1396/10/1</c:v>
                  </c:pt>
                  <c:pt idx="631">
                    <c:v>1396/10/1</c:v>
                  </c:pt>
                  <c:pt idx="633">
                    <c:v>تاریخ آغاز</c:v>
                  </c:pt>
                  <c:pt idx="634">
                    <c:v>1396/10/1</c:v>
                  </c:pt>
                  <c:pt idx="635">
                    <c:v>1396/10/1</c:v>
                  </c:pt>
                  <c:pt idx="636">
                    <c:v>1396/10/1</c:v>
                  </c:pt>
                  <c:pt idx="638">
                    <c:v>تاریخ آغاز</c:v>
                  </c:pt>
                  <c:pt idx="639">
                    <c:v>1396/10/1</c:v>
                  </c:pt>
                  <c:pt idx="640">
                    <c:v>1396/10/1</c:v>
                  </c:pt>
                  <c:pt idx="641">
                    <c:v>1396/10/1</c:v>
                  </c:pt>
                  <c:pt idx="643">
                    <c:v>تاریخ آغاز</c:v>
                  </c:pt>
                  <c:pt idx="644">
                    <c:v>1396/10/1</c:v>
                  </c:pt>
                  <c:pt idx="645">
                    <c:v>1396/10/1</c:v>
                  </c:pt>
                  <c:pt idx="647">
                    <c:v> -   </c:v>
                  </c:pt>
                  <c:pt idx="649">
                    <c:v>معیاد پروژه </c:v>
                  </c:pt>
                  <c:pt idx="650">
                    <c:v>تاریخ آغاز</c:v>
                  </c:pt>
                  <c:pt idx="651">
                    <c:v>1جدی</c:v>
                  </c:pt>
                  <c:pt idx="652">
                    <c:v>30حوت</c:v>
                  </c:pt>
                  <c:pt idx="655">
                    <c:v>1 حوت </c:v>
                  </c:pt>
                  <c:pt idx="656">
                    <c:v>1 حوت</c:v>
                  </c:pt>
                  <c:pt idx="658">
                    <c:v>1میزان </c:v>
                  </c:pt>
                  <c:pt idx="659">
                    <c:v>1عقرب</c:v>
                  </c:pt>
                  <c:pt idx="660">
                    <c:v>1جوزا</c:v>
                  </c:pt>
                  <c:pt idx="661">
                    <c:v>1جوزا</c:v>
                  </c:pt>
                  <c:pt idx="662">
                    <c:v>1عقرب</c:v>
                  </c:pt>
                  <c:pt idx="663">
                    <c:v>12 جدی</c:v>
                  </c:pt>
                  <c:pt idx="665">
                    <c:v>تاریخ آغاز</c:v>
                  </c:pt>
                  <c:pt idx="667">
                    <c:v>1حمل</c:v>
                  </c:pt>
                  <c:pt idx="668">
                    <c:v>1جدی</c:v>
                  </c:pt>
                  <c:pt idx="669">
                    <c:v>12 جدی</c:v>
                  </c:pt>
                  <c:pt idx="670">
                    <c:v>15دلو</c:v>
                  </c:pt>
                  <c:pt idx="671">
                    <c:v>15دلو</c:v>
                  </c:pt>
                  <c:pt idx="672">
                    <c:v>1عقرب</c:v>
                  </c:pt>
                  <c:pt idx="673">
                    <c:v>1دلو</c:v>
                  </c:pt>
                  <c:pt idx="674">
                    <c:v>1عقرب</c:v>
                  </c:pt>
                  <c:pt idx="675">
                    <c:v>1عقرب</c:v>
                  </c:pt>
                  <c:pt idx="676">
                    <c:v>1عقرب</c:v>
                  </c:pt>
                  <c:pt idx="677">
                    <c:v>1عقرب</c:v>
                  </c:pt>
                  <c:pt idx="678">
                    <c:v>1حوت</c:v>
                  </c:pt>
                  <c:pt idx="679">
                    <c:v>1جدی</c:v>
                  </c:pt>
                  <c:pt idx="680">
                    <c:v>15حوت</c:v>
                  </c:pt>
                  <c:pt idx="681">
                    <c:v>15حوت</c:v>
                  </c:pt>
                  <c:pt idx="682">
                    <c:v>اول ثور</c:v>
                  </c:pt>
                  <c:pt idx="683">
                    <c:v>1ثور</c:v>
                  </c:pt>
                  <c:pt idx="685">
                    <c:v>1میزان </c:v>
                  </c:pt>
                  <c:pt idx="686">
                    <c:v>1عقرب</c:v>
                  </c:pt>
                  <c:pt idx="687">
                    <c:v>1جوزا</c:v>
                  </c:pt>
                  <c:pt idx="688">
                    <c:v>1جوزا</c:v>
                  </c:pt>
                  <c:pt idx="689">
                    <c:v>1عقرب</c:v>
                  </c:pt>
                  <c:pt idx="690">
                    <c:v>12 جدی</c:v>
                  </c:pt>
                  <c:pt idx="691">
                    <c:v>12 جدی</c:v>
                  </c:pt>
                  <c:pt idx="693">
                    <c:v>تاریخ آغاز</c:v>
                  </c:pt>
                  <c:pt idx="694">
                    <c:v>1جدی</c:v>
                  </c:pt>
                  <c:pt idx="695">
                    <c:v>30حوت</c:v>
                  </c:pt>
                  <c:pt idx="696">
                    <c:v>اجدی</c:v>
                  </c:pt>
                  <c:pt idx="697">
                    <c:v>اجدی</c:v>
                  </c:pt>
                  <c:pt idx="698">
                    <c:v>1 حوت </c:v>
                  </c:pt>
                  <c:pt idx="699">
                    <c:v>1 حوت</c:v>
                  </c:pt>
                  <c:pt idx="701">
                    <c:v>1میزان </c:v>
                  </c:pt>
                  <c:pt idx="702">
                    <c:v>1عقرب</c:v>
                  </c:pt>
                  <c:pt idx="703">
                    <c:v>1جوزا</c:v>
                  </c:pt>
                  <c:pt idx="704">
                    <c:v>1جوزا</c:v>
                  </c:pt>
                  <c:pt idx="705">
                    <c:v>1عقرب</c:v>
                  </c:pt>
                  <c:pt idx="706">
                    <c:v>12 جدی</c:v>
                  </c:pt>
                  <c:pt idx="708">
                    <c:v>تاریخ آغاز</c:v>
                  </c:pt>
                  <c:pt idx="709">
                    <c:v>1جدی</c:v>
                  </c:pt>
                  <c:pt idx="710">
                    <c:v>12 جدی</c:v>
                  </c:pt>
                  <c:pt idx="711">
                    <c:v>15دلو</c:v>
                  </c:pt>
                  <c:pt idx="712">
                    <c:v>15دلو</c:v>
                  </c:pt>
                  <c:pt idx="713">
                    <c:v>1عقرب</c:v>
                  </c:pt>
                  <c:pt idx="714">
                    <c:v>1دلو</c:v>
                  </c:pt>
                  <c:pt idx="715">
                    <c:v>1عقرب</c:v>
                  </c:pt>
                  <c:pt idx="716">
                    <c:v>1عقرب</c:v>
                  </c:pt>
                  <c:pt idx="717">
                    <c:v>1عقرب</c:v>
                  </c:pt>
                  <c:pt idx="718">
                    <c:v>1عقرب</c:v>
                  </c:pt>
                  <c:pt idx="719">
                    <c:v>1حوت</c:v>
                  </c:pt>
                  <c:pt idx="720">
                    <c:v>1جدی</c:v>
                  </c:pt>
                  <c:pt idx="721">
                    <c:v>15حوت</c:v>
                  </c:pt>
                  <c:pt idx="722">
                    <c:v>15حوت</c:v>
                  </c:pt>
                  <c:pt idx="723">
                    <c:v>اول ثور</c:v>
                  </c:pt>
                  <c:pt idx="724">
                    <c:v>1ثور</c:v>
                  </c:pt>
                  <c:pt idx="726">
                    <c:v>1میزان</c:v>
                  </c:pt>
                  <c:pt idx="727">
                    <c:v>1عقرب</c:v>
                  </c:pt>
                  <c:pt idx="728">
                    <c:v>1عقرب</c:v>
                  </c:pt>
                  <c:pt idx="729">
                    <c:v>1جوزا</c:v>
                  </c:pt>
                  <c:pt idx="730">
                    <c:v>1جوزا</c:v>
                  </c:pt>
                  <c:pt idx="731">
                    <c:v>1عقرب</c:v>
                  </c:pt>
                  <c:pt idx="732">
                    <c:v>1عقرب</c:v>
                  </c:pt>
                  <c:pt idx="733">
                    <c:v>12 جدی</c:v>
                  </c:pt>
                  <c:pt idx="734">
                    <c:v>12 جدی</c:v>
                  </c:pt>
                  <c:pt idx="736">
                    <c:v>تاریخ آغاز</c:v>
                  </c:pt>
                  <c:pt idx="737">
                    <c:v>1جدی</c:v>
                  </c:pt>
                  <c:pt idx="738">
                    <c:v>30حوت</c:v>
                  </c:pt>
                  <c:pt idx="739">
                    <c:v>اجدی</c:v>
                  </c:pt>
                  <c:pt idx="740">
                    <c:v>1جدی</c:v>
                  </c:pt>
                  <c:pt idx="741">
                    <c:v>1 حوت </c:v>
                  </c:pt>
                  <c:pt idx="742">
                    <c:v>1 حوت</c:v>
                  </c:pt>
                  <c:pt idx="744">
                    <c:v>1میزان</c:v>
                  </c:pt>
                  <c:pt idx="745">
                    <c:v>1عقرب</c:v>
                  </c:pt>
                  <c:pt idx="746">
                    <c:v>1جوزا</c:v>
                  </c:pt>
                  <c:pt idx="747">
                    <c:v>1جوزا</c:v>
                  </c:pt>
                  <c:pt idx="748">
                    <c:v>1عقرب</c:v>
                  </c:pt>
                  <c:pt idx="749">
                    <c:v>1جدی</c:v>
                  </c:pt>
                  <c:pt idx="751">
                    <c:v>تاریخ آغاز</c:v>
                  </c:pt>
                  <c:pt idx="752">
                    <c:v>1حمل</c:v>
                  </c:pt>
                  <c:pt idx="753">
                    <c:v>1حمل</c:v>
                  </c:pt>
                  <c:pt idx="754">
                    <c:v>1جدی</c:v>
                  </c:pt>
                  <c:pt idx="755">
                    <c:v>اول ثور</c:v>
                  </c:pt>
                  <c:pt idx="756">
                    <c:v>1ثور</c:v>
                  </c:pt>
                  <c:pt idx="757">
                    <c:v>1جدی</c:v>
                  </c:pt>
                  <c:pt idx="759">
                    <c:v>تاریخ آغاز</c:v>
                  </c:pt>
                  <c:pt idx="760">
                    <c:v>1حمل</c:v>
                  </c:pt>
                  <c:pt idx="761">
                    <c:v>1جدی</c:v>
                  </c:pt>
                  <c:pt idx="762">
                    <c:v>1ثور</c:v>
                  </c:pt>
                  <c:pt idx="763">
                    <c:v>اول ثور</c:v>
                  </c:pt>
                  <c:pt idx="764">
                    <c:v>1جدی</c:v>
                  </c:pt>
                  <c:pt idx="766">
                    <c:v>تاریخ آغاز</c:v>
                  </c:pt>
                  <c:pt idx="767">
                    <c:v>1حمل</c:v>
                  </c:pt>
                  <c:pt idx="768">
                    <c:v>1جدی</c:v>
                  </c:pt>
                  <c:pt idx="769">
                    <c:v>1حمل</c:v>
                  </c:pt>
                  <c:pt idx="770">
                    <c:v>12 جدی</c:v>
                  </c:pt>
                  <c:pt idx="771">
                    <c:v>12 جدی</c:v>
                  </c:pt>
                  <c:pt idx="772">
                    <c:v>15دلو</c:v>
                  </c:pt>
                  <c:pt idx="773">
                    <c:v>15دلو</c:v>
                  </c:pt>
                  <c:pt idx="774">
                    <c:v>1عقرب</c:v>
                  </c:pt>
                  <c:pt idx="775">
                    <c:v>1دلو</c:v>
                  </c:pt>
                  <c:pt idx="776">
                    <c:v>1عقرب</c:v>
                  </c:pt>
                  <c:pt idx="777">
                    <c:v>1عقرب</c:v>
                  </c:pt>
                  <c:pt idx="778">
                    <c:v>1عقرب</c:v>
                  </c:pt>
                  <c:pt idx="779">
                    <c:v>1عقرب</c:v>
                  </c:pt>
                  <c:pt idx="780">
                    <c:v>1حوت</c:v>
                  </c:pt>
                  <c:pt idx="781">
                    <c:v>1جدی</c:v>
                  </c:pt>
                  <c:pt idx="782">
                    <c:v>15حوت</c:v>
                  </c:pt>
                  <c:pt idx="783">
                    <c:v>15حوت</c:v>
                  </c:pt>
                  <c:pt idx="784">
                    <c:v>اول ثور</c:v>
                  </c:pt>
                  <c:pt idx="785">
                    <c:v>1ثور</c:v>
                  </c:pt>
                  <c:pt idx="786">
                    <c:v>1جدی</c:v>
                  </c:pt>
                  <c:pt idx="787">
                    <c:v>1میزان</c:v>
                  </c:pt>
                  <c:pt idx="788">
                    <c:v>1عقرب</c:v>
                  </c:pt>
                  <c:pt idx="789">
                    <c:v>1جوزا</c:v>
                  </c:pt>
                  <c:pt idx="790">
                    <c:v>1جوزا</c:v>
                  </c:pt>
                  <c:pt idx="791">
                    <c:v>1عقرب</c:v>
                  </c:pt>
                  <c:pt idx="792">
                    <c:v>1جدی</c:v>
                  </c:pt>
                  <c:pt idx="793">
                    <c:v>1جدی</c:v>
                  </c:pt>
                  <c:pt idx="795">
                    <c:v>تاریخ آغاز</c:v>
                  </c:pt>
                  <c:pt idx="796">
                    <c:v>1جدی</c:v>
                  </c:pt>
                  <c:pt idx="797">
                    <c:v>اجدی</c:v>
                  </c:pt>
                  <c:pt idx="798">
                    <c:v>12 جدی</c:v>
                  </c:pt>
                  <c:pt idx="799">
                    <c:v>15دلو</c:v>
                  </c:pt>
                  <c:pt idx="800">
                    <c:v>15دلو</c:v>
                  </c:pt>
                  <c:pt idx="801">
                    <c:v>1عقرب</c:v>
                  </c:pt>
                  <c:pt idx="802">
                    <c:v>1دلو</c:v>
                  </c:pt>
                  <c:pt idx="803">
                    <c:v>1عقرب</c:v>
                  </c:pt>
                  <c:pt idx="804">
                    <c:v>1عقرب</c:v>
                  </c:pt>
                  <c:pt idx="805">
                    <c:v>1عقرب</c:v>
                  </c:pt>
                  <c:pt idx="806">
                    <c:v>1عقرب</c:v>
                  </c:pt>
                  <c:pt idx="807">
                    <c:v>1حوت</c:v>
                  </c:pt>
                  <c:pt idx="808">
                    <c:v>1جدی</c:v>
                  </c:pt>
                  <c:pt idx="809">
                    <c:v>15حوت</c:v>
                  </c:pt>
                  <c:pt idx="810">
                    <c:v>15حوت</c:v>
                  </c:pt>
                  <c:pt idx="811">
                    <c:v>اول ثور</c:v>
                  </c:pt>
                  <c:pt idx="812">
                    <c:v>1ثور</c:v>
                  </c:pt>
                  <c:pt idx="813">
                    <c:v>12 جدی</c:v>
                  </c:pt>
                  <c:pt idx="814">
                    <c:v>12 جدی</c:v>
                  </c:pt>
                  <c:pt idx="816">
                    <c:v>تاریخ آغاز</c:v>
                  </c:pt>
                  <c:pt idx="817">
                    <c:v>1جدی</c:v>
                  </c:pt>
                  <c:pt idx="818">
                    <c:v>30حوت</c:v>
                  </c:pt>
                  <c:pt idx="819">
                    <c:v>اجدی</c:v>
                  </c:pt>
                  <c:pt idx="820">
                    <c:v>1 حوت </c:v>
                  </c:pt>
                  <c:pt idx="821">
                    <c:v>1 حوت</c:v>
                  </c:pt>
                  <c:pt idx="822">
                    <c:v>12 جدی</c:v>
                  </c:pt>
                  <c:pt idx="824">
                    <c:v>تاریخ آغاز</c:v>
                  </c:pt>
                  <c:pt idx="825">
                    <c:v>1جدی</c:v>
                  </c:pt>
                  <c:pt idx="826">
                    <c:v>30حوت</c:v>
                  </c:pt>
                  <c:pt idx="827">
                    <c:v>اجدی</c:v>
                  </c:pt>
                  <c:pt idx="828">
                    <c:v>1 حوت </c:v>
                  </c:pt>
                  <c:pt idx="829">
                    <c:v>1 حوت</c:v>
                  </c:pt>
                  <c:pt idx="830">
                    <c:v>12 جدی</c:v>
                  </c:pt>
                  <c:pt idx="832">
                    <c:v>تاریخ آغاز</c:v>
                  </c:pt>
                  <c:pt idx="833">
                    <c:v>1جدی</c:v>
                  </c:pt>
                  <c:pt idx="834">
                    <c:v>30حوت</c:v>
                  </c:pt>
                  <c:pt idx="835">
                    <c:v>اجدی</c:v>
                  </c:pt>
                  <c:pt idx="836">
                    <c:v>1 حوت </c:v>
                  </c:pt>
                  <c:pt idx="837">
                    <c:v>1 حوت</c:v>
                  </c:pt>
                  <c:pt idx="838">
                    <c:v>12 جدی</c:v>
                  </c:pt>
                  <c:pt idx="840">
                    <c:v>تاریخ آغاز</c:v>
                  </c:pt>
                  <c:pt idx="841">
                    <c:v>1جدی</c:v>
                  </c:pt>
                  <c:pt idx="842">
                    <c:v>30حوت</c:v>
                  </c:pt>
                  <c:pt idx="843">
                    <c:v>اجدی</c:v>
                  </c:pt>
                  <c:pt idx="844">
                    <c:v>1 حوت </c:v>
                  </c:pt>
                  <c:pt idx="845">
                    <c:v>1 حوت</c:v>
                  </c:pt>
                  <c:pt idx="846">
                    <c:v>12 جدی</c:v>
                  </c:pt>
                  <c:pt idx="848">
                    <c:v>تاریخ آغاز</c:v>
                  </c:pt>
                  <c:pt idx="849">
                    <c:v>1جدی</c:v>
                  </c:pt>
                  <c:pt idx="850">
                    <c:v>30حوت</c:v>
                  </c:pt>
                  <c:pt idx="851">
                    <c:v>اجدی</c:v>
                  </c:pt>
                  <c:pt idx="852">
                    <c:v>1 حوت </c:v>
                  </c:pt>
                  <c:pt idx="853">
                    <c:v>1 حوت</c:v>
                  </c:pt>
                  <c:pt idx="855">
                    <c:v>1میزان</c:v>
                  </c:pt>
                  <c:pt idx="856">
                    <c:v>1عقرب</c:v>
                  </c:pt>
                  <c:pt idx="857">
                    <c:v>1جوزا</c:v>
                  </c:pt>
                  <c:pt idx="858">
                    <c:v>1جوزا</c:v>
                  </c:pt>
                  <c:pt idx="859">
                    <c:v>1عقرب</c:v>
                  </c:pt>
                  <c:pt idx="860">
                    <c:v>12 جدی</c:v>
                  </c:pt>
                  <c:pt idx="862">
                    <c:v>تاریخ آغاز</c:v>
                  </c:pt>
                  <c:pt idx="863">
                    <c:v>1جدی</c:v>
                  </c:pt>
                  <c:pt idx="864">
                    <c:v>30حوت</c:v>
                  </c:pt>
                  <c:pt idx="865">
                    <c:v>اجدی</c:v>
                  </c:pt>
                  <c:pt idx="866">
                    <c:v>1 حوت </c:v>
                  </c:pt>
                  <c:pt idx="867">
                    <c:v>1 حوت</c:v>
                  </c:pt>
                  <c:pt idx="869">
                    <c:v>1میزان</c:v>
                  </c:pt>
                  <c:pt idx="870">
                    <c:v>1عقرب</c:v>
                  </c:pt>
                  <c:pt idx="871">
                    <c:v>1جوزا</c:v>
                  </c:pt>
                  <c:pt idx="872">
                    <c:v>1جوزا</c:v>
                  </c:pt>
                  <c:pt idx="873">
                    <c:v>1عقرب</c:v>
                  </c:pt>
                  <c:pt idx="874">
                    <c:v>12 جدی</c:v>
                  </c:pt>
                  <c:pt idx="878">
                    <c:v> -   </c:v>
                  </c:pt>
                  <c:pt idx="879">
                    <c:v> -   </c:v>
                  </c:pt>
                  <c:pt idx="881">
                    <c:v>تاریخ آغاز</c:v>
                  </c:pt>
                  <c:pt idx="882">
                    <c:v>1جدی</c:v>
                  </c:pt>
                  <c:pt idx="883">
                    <c:v>1جدی</c:v>
                  </c:pt>
                  <c:pt idx="884">
                    <c:v>1جدی</c:v>
                  </c:pt>
                  <c:pt idx="885">
                    <c:v>1جدی</c:v>
                  </c:pt>
                  <c:pt idx="886">
                    <c:v>1جدی</c:v>
                  </c:pt>
                  <c:pt idx="887">
                    <c:v>1جدی</c:v>
                  </c:pt>
                  <c:pt idx="888">
                    <c:v>1جدی</c:v>
                  </c:pt>
                  <c:pt idx="890">
                    <c:v>1جدی</c:v>
                  </c:pt>
                  <c:pt idx="891">
                    <c:v>1جدی</c:v>
                  </c:pt>
                  <c:pt idx="892">
                    <c:v>1جدی</c:v>
                  </c:pt>
                  <c:pt idx="893">
                    <c:v>1جدی</c:v>
                  </c:pt>
                  <c:pt idx="894">
                    <c:v>1جدی</c:v>
                  </c:pt>
                  <c:pt idx="895">
                    <c:v>1جدی</c:v>
                  </c:pt>
                  <c:pt idx="896">
                    <c:v>1جدی</c:v>
                  </c:pt>
                  <c:pt idx="898">
                    <c:v>1جدی</c:v>
                  </c:pt>
                  <c:pt idx="899">
                    <c:v>1جدی</c:v>
                  </c:pt>
                  <c:pt idx="900">
                    <c:v>1جدی</c:v>
                  </c:pt>
                  <c:pt idx="901">
                    <c:v>1جدی</c:v>
                  </c:pt>
                  <c:pt idx="902">
                    <c:v>1جدی</c:v>
                  </c:pt>
                  <c:pt idx="903">
                    <c:v>1جدی</c:v>
                  </c:pt>
                  <c:pt idx="904">
                    <c:v>1جدی</c:v>
                  </c:pt>
                  <c:pt idx="906">
                    <c:v>1جدی</c:v>
                  </c:pt>
                  <c:pt idx="907">
                    <c:v>1جدی</c:v>
                  </c:pt>
                  <c:pt idx="908">
                    <c:v>1جدی</c:v>
                  </c:pt>
                  <c:pt idx="909">
                    <c:v>1جدی</c:v>
                  </c:pt>
                  <c:pt idx="910">
                    <c:v>1جدی</c:v>
                  </c:pt>
                  <c:pt idx="911">
                    <c:v>1جدی</c:v>
                  </c:pt>
                  <c:pt idx="913">
                    <c:v>1جدی</c:v>
                  </c:pt>
                  <c:pt idx="914">
                    <c:v>1جدی</c:v>
                  </c:pt>
                  <c:pt idx="915">
                    <c:v>1جدی</c:v>
                  </c:pt>
                  <c:pt idx="916">
                    <c:v>1جدی</c:v>
                  </c:pt>
                  <c:pt idx="917">
                    <c:v>1جدی</c:v>
                  </c:pt>
                  <c:pt idx="918">
                    <c:v>1جدی</c:v>
                  </c:pt>
                  <c:pt idx="919">
                    <c:v>1جدی</c:v>
                  </c:pt>
                  <c:pt idx="921">
                    <c:v>1جدی</c:v>
                  </c:pt>
                  <c:pt idx="922">
                    <c:v>1جدی</c:v>
                  </c:pt>
                  <c:pt idx="923">
                    <c:v>1جدی</c:v>
                  </c:pt>
                  <c:pt idx="924">
                    <c:v>1جدی</c:v>
                  </c:pt>
                  <c:pt idx="925">
                    <c:v>1جدی</c:v>
                  </c:pt>
                  <c:pt idx="927">
                    <c:v>1جدی</c:v>
                  </c:pt>
                  <c:pt idx="928">
                    <c:v>1جدی</c:v>
                  </c:pt>
                  <c:pt idx="929">
                    <c:v>1جدی</c:v>
                  </c:pt>
                  <c:pt idx="930">
                    <c:v>1جدی</c:v>
                  </c:pt>
                  <c:pt idx="931">
                    <c:v>1جدی</c:v>
                  </c:pt>
                  <c:pt idx="932">
                    <c:v>1جدی</c:v>
                  </c:pt>
                  <c:pt idx="933">
                    <c:v>1جدی</c:v>
                  </c:pt>
                  <c:pt idx="934">
                    <c:v>1جدی</c:v>
                  </c:pt>
                  <c:pt idx="936">
                    <c:v>1جدی</c:v>
                  </c:pt>
                  <c:pt idx="937">
                    <c:v>1جدی</c:v>
                  </c:pt>
                  <c:pt idx="938">
                    <c:v>1جدی</c:v>
                  </c:pt>
                  <c:pt idx="939">
                    <c:v>1جدی</c:v>
                  </c:pt>
                  <c:pt idx="940">
                    <c:v>1جدی</c:v>
                  </c:pt>
                  <c:pt idx="941">
                    <c:v>1جدی</c:v>
                  </c:pt>
                  <c:pt idx="942">
                    <c:v>1جدی</c:v>
                  </c:pt>
                  <c:pt idx="944">
                    <c:v>1جدی</c:v>
                  </c:pt>
                  <c:pt idx="945">
                    <c:v>1جدی</c:v>
                  </c:pt>
                  <c:pt idx="946">
                    <c:v>1جدی</c:v>
                  </c:pt>
                  <c:pt idx="947">
                    <c:v>1جدی</c:v>
                  </c:pt>
                  <c:pt idx="948">
                    <c:v>1جدی</c:v>
                  </c:pt>
                  <c:pt idx="949">
                    <c:v>1جدی</c:v>
                  </c:pt>
                  <c:pt idx="950">
                    <c:v>1جدی</c:v>
                  </c:pt>
                  <c:pt idx="952">
                    <c:v>1جدی</c:v>
                  </c:pt>
                  <c:pt idx="953">
                    <c:v>1جدی</c:v>
                  </c:pt>
                  <c:pt idx="954">
                    <c:v>1جدی</c:v>
                  </c:pt>
                  <c:pt idx="955">
                    <c:v>1جدی</c:v>
                  </c:pt>
                  <c:pt idx="956">
                    <c:v>1جدی</c:v>
                  </c:pt>
                  <c:pt idx="957">
                    <c:v>1جدی</c:v>
                  </c:pt>
                  <c:pt idx="958">
                    <c:v>1جدی</c:v>
                  </c:pt>
                  <c:pt idx="959">
                    <c:v>1جدی</c:v>
                  </c:pt>
                  <c:pt idx="961">
                    <c:v>1جدی</c:v>
                  </c:pt>
                  <c:pt idx="962">
                    <c:v>1جدی</c:v>
                  </c:pt>
                  <c:pt idx="963">
                    <c:v>1جدی</c:v>
                  </c:pt>
                  <c:pt idx="964">
                    <c:v>1جدی</c:v>
                  </c:pt>
                  <c:pt idx="965">
                    <c:v>1جدی</c:v>
                  </c:pt>
                  <c:pt idx="966">
                    <c:v>1جدی</c:v>
                  </c:pt>
                  <c:pt idx="967">
                    <c:v>1جدی</c:v>
                  </c:pt>
                  <c:pt idx="969">
                    <c:v>1جدی</c:v>
                  </c:pt>
                  <c:pt idx="970">
                    <c:v>1جدی</c:v>
                  </c:pt>
                  <c:pt idx="971">
                    <c:v>1جدی</c:v>
                  </c:pt>
                  <c:pt idx="972">
                    <c:v>1جدی</c:v>
                  </c:pt>
                  <c:pt idx="973">
                    <c:v>1جدی</c:v>
                  </c:pt>
                  <c:pt idx="974">
                    <c:v>1جدی</c:v>
                  </c:pt>
                  <c:pt idx="975">
                    <c:v>1جدی</c:v>
                  </c:pt>
                  <c:pt idx="977">
                    <c:v>1جدی</c:v>
                  </c:pt>
                  <c:pt idx="978">
                    <c:v>1جدی</c:v>
                  </c:pt>
                  <c:pt idx="979">
                    <c:v>1جدی</c:v>
                  </c:pt>
                  <c:pt idx="980">
                    <c:v>1جدی</c:v>
                  </c:pt>
                  <c:pt idx="981">
                    <c:v>1جدی</c:v>
                  </c:pt>
                  <c:pt idx="982">
                    <c:v>1جدی</c:v>
                  </c:pt>
                  <c:pt idx="983">
                    <c:v>1جدی</c:v>
                  </c:pt>
                  <c:pt idx="984">
                    <c:v>1جدی</c:v>
                  </c:pt>
                  <c:pt idx="985">
                    <c:v>1جدی</c:v>
                  </c:pt>
                  <c:pt idx="987">
                    <c:v>1جدی</c:v>
                  </c:pt>
                  <c:pt idx="988">
                    <c:v>1جدی</c:v>
                  </c:pt>
                  <c:pt idx="989">
                    <c:v>1جدی</c:v>
                  </c:pt>
                  <c:pt idx="990">
                    <c:v>1جدی</c:v>
                  </c:pt>
                  <c:pt idx="991">
                    <c:v>1جدی</c:v>
                  </c:pt>
                  <c:pt idx="992">
                    <c:v>1جدی</c:v>
                  </c:pt>
                  <c:pt idx="993">
                    <c:v>1جدی</c:v>
                  </c:pt>
                  <c:pt idx="995">
                    <c:v>1جدی</c:v>
                  </c:pt>
                  <c:pt idx="996">
                    <c:v>1جدی</c:v>
                  </c:pt>
                  <c:pt idx="997">
                    <c:v>1جدی</c:v>
                  </c:pt>
                  <c:pt idx="998">
                    <c:v>1جدی</c:v>
                  </c:pt>
                  <c:pt idx="999">
                    <c:v>1جدی</c:v>
                  </c:pt>
                  <c:pt idx="1000">
                    <c:v>1جدی</c:v>
                  </c:pt>
                  <c:pt idx="1002">
                    <c:v>1جدی</c:v>
                  </c:pt>
                  <c:pt idx="1003">
                    <c:v>1جدی</c:v>
                  </c:pt>
                  <c:pt idx="1004">
                    <c:v>1جدی</c:v>
                  </c:pt>
                  <c:pt idx="1005">
                    <c:v>1جدی</c:v>
                  </c:pt>
                  <c:pt idx="1006">
                    <c:v>1جدی</c:v>
                  </c:pt>
                  <c:pt idx="1007">
                    <c:v>1جدی</c:v>
                  </c:pt>
                  <c:pt idx="1008">
                    <c:v>1جدی</c:v>
                  </c:pt>
                  <c:pt idx="1009">
                    <c:v>1جدی</c:v>
                  </c:pt>
                  <c:pt idx="1010">
                    <c:v>1جدی</c:v>
                  </c:pt>
                  <c:pt idx="1011">
                    <c:v>1جدی</c:v>
                  </c:pt>
                  <c:pt idx="1012">
                    <c:v>1جدی</c:v>
                  </c:pt>
                  <c:pt idx="1013">
                    <c:v>1جدی</c:v>
                  </c:pt>
                  <c:pt idx="1014">
                    <c:v>1جدی</c:v>
                  </c:pt>
                  <c:pt idx="1015">
                    <c:v>1جدی</c:v>
                  </c:pt>
                  <c:pt idx="1016">
                    <c:v>1جدی</c:v>
                  </c:pt>
                  <c:pt idx="1018">
                    <c:v>1جدی</c:v>
                  </c:pt>
                  <c:pt idx="1019">
                    <c:v>1جدی</c:v>
                  </c:pt>
                  <c:pt idx="1020">
                    <c:v>1جدی</c:v>
                  </c:pt>
                  <c:pt idx="1021">
                    <c:v>1جدی</c:v>
                  </c:pt>
                  <c:pt idx="1022">
                    <c:v>1جدی</c:v>
                  </c:pt>
                  <c:pt idx="1023">
                    <c:v>1جدی</c:v>
                  </c:pt>
                  <c:pt idx="1024">
                    <c:v>1جدی</c:v>
                  </c:pt>
                  <c:pt idx="1026">
                    <c:v>1جدی</c:v>
                  </c:pt>
                  <c:pt idx="1027">
                    <c:v>1جدی</c:v>
                  </c:pt>
                  <c:pt idx="1028">
                    <c:v>1جدی</c:v>
                  </c:pt>
                  <c:pt idx="1029">
                    <c:v>1جدی</c:v>
                  </c:pt>
                  <c:pt idx="1030">
                    <c:v>1جدی</c:v>
                  </c:pt>
                  <c:pt idx="1031">
                    <c:v>1جدی</c:v>
                  </c:pt>
                  <c:pt idx="1032">
                    <c:v>1جدی</c:v>
                  </c:pt>
                  <c:pt idx="1033">
                    <c:v>1جدی</c:v>
                  </c:pt>
                  <c:pt idx="1035">
                    <c:v>1جدی</c:v>
                  </c:pt>
                  <c:pt idx="1036">
                    <c:v>1جدی</c:v>
                  </c:pt>
                  <c:pt idx="1037">
                    <c:v>1جدی</c:v>
                  </c:pt>
                  <c:pt idx="1038">
                    <c:v>1جدی</c:v>
                  </c:pt>
                  <c:pt idx="1039">
                    <c:v>1جدی</c:v>
                  </c:pt>
                  <c:pt idx="1040">
                    <c:v>1جدی</c:v>
                  </c:pt>
                  <c:pt idx="1041">
                    <c:v>1جدی</c:v>
                  </c:pt>
                  <c:pt idx="1043">
                    <c:v>1جدی</c:v>
                  </c:pt>
                  <c:pt idx="1044">
                    <c:v>1جدی</c:v>
                  </c:pt>
                  <c:pt idx="1045">
                    <c:v>1جدی</c:v>
                  </c:pt>
                  <c:pt idx="1046">
                    <c:v>1جدی</c:v>
                  </c:pt>
                  <c:pt idx="1047">
                    <c:v>1جدی</c:v>
                  </c:pt>
                  <c:pt idx="1048">
                    <c:v>1جدی</c:v>
                  </c:pt>
                  <c:pt idx="1049">
                    <c:v>1جدی</c:v>
                  </c:pt>
                  <c:pt idx="1050">
                    <c:v>1جدی</c:v>
                  </c:pt>
                  <c:pt idx="1052">
                    <c:v>1جدی</c:v>
                  </c:pt>
                  <c:pt idx="1053">
                    <c:v>1جدی</c:v>
                  </c:pt>
                  <c:pt idx="1054">
                    <c:v>1جدی</c:v>
                  </c:pt>
                  <c:pt idx="1055">
                    <c:v>1جدی</c:v>
                  </c:pt>
                  <c:pt idx="1056">
                    <c:v>1جدی</c:v>
                  </c:pt>
                  <c:pt idx="1057">
                    <c:v>1جدی</c:v>
                  </c:pt>
                  <c:pt idx="1058">
                    <c:v>1جدی</c:v>
                  </c:pt>
                  <c:pt idx="1060">
                    <c:v>1جدی</c:v>
                  </c:pt>
                  <c:pt idx="1061">
                    <c:v>1جدی</c:v>
                  </c:pt>
                  <c:pt idx="1062">
                    <c:v>1جدی</c:v>
                  </c:pt>
                  <c:pt idx="1063">
                    <c:v>1جدی</c:v>
                  </c:pt>
                  <c:pt idx="1064">
                    <c:v>1جدی</c:v>
                  </c:pt>
                  <c:pt idx="1065">
                    <c:v>1جدی</c:v>
                  </c:pt>
                  <c:pt idx="1066">
                    <c:v>1جدی</c:v>
                  </c:pt>
                  <c:pt idx="1068">
                    <c:v>1جدی</c:v>
                  </c:pt>
                  <c:pt idx="1069">
                    <c:v>1جدی</c:v>
                  </c:pt>
                  <c:pt idx="1070">
                    <c:v>1جدی</c:v>
                  </c:pt>
                  <c:pt idx="1071">
                    <c:v>1جدی</c:v>
                  </c:pt>
                  <c:pt idx="1072">
                    <c:v>1جدی</c:v>
                  </c:pt>
                  <c:pt idx="1073">
                    <c:v>1جدی</c:v>
                  </c:pt>
                  <c:pt idx="1074">
                    <c:v>1جدی</c:v>
                  </c:pt>
                  <c:pt idx="1076">
                    <c:v>1جدی</c:v>
                  </c:pt>
                  <c:pt idx="1077">
                    <c:v>1جدی</c:v>
                  </c:pt>
                  <c:pt idx="1078">
                    <c:v>1جدی</c:v>
                  </c:pt>
                  <c:pt idx="1079">
                    <c:v>1جدی</c:v>
                  </c:pt>
                  <c:pt idx="1080">
                    <c:v>1جدی</c:v>
                  </c:pt>
                  <c:pt idx="1081">
                    <c:v>1جدی</c:v>
                  </c:pt>
                  <c:pt idx="1082">
                    <c:v>1جدی</c:v>
                  </c:pt>
                  <c:pt idx="1084">
                    <c:v>1جدی</c:v>
                  </c:pt>
                  <c:pt idx="1085">
                    <c:v>1جدی</c:v>
                  </c:pt>
                  <c:pt idx="1086">
                    <c:v>1جدی</c:v>
                  </c:pt>
                  <c:pt idx="1087">
                    <c:v>1جدی</c:v>
                  </c:pt>
                  <c:pt idx="1088">
                    <c:v>1جدی</c:v>
                  </c:pt>
                  <c:pt idx="1089">
                    <c:v>1جدی</c:v>
                  </c:pt>
                  <c:pt idx="1090">
                    <c:v>1جدی</c:v>
                  </c:pt>
                  <c:pt idx="1092">
                    <c:v>1جدی</c:v>
                  </c:pt>
                  <c:pt idx="1093">
                    <c:v>1جدی</c:v>
                  </c:pt>
                  <c:pt idx="1094">
                    <c:v>1جدی</c:v>
                  </c:pt>
                  <c:pt idx="1095">
                    <c:v>1جدی</c:v>
                  </c:pt>
                  <c:pt idx="1096">
                    <c:v>1جدی</c:v>
                  </c:pt>
                  <c:pt idx="1097">
                    <c:v>1جدی</c:v>
                  </c:pt>
                  <c:pt idx="1099">
                    <c:v>1جدی</c:v>
                  </c:pt>
                  <c:pt idx="1100">
                    <c:v>1جدی</c:v>
                  </c:pt>
                  <c:pt idx="1101">
                    <c:v>1جدی</c:v>
                  </c:pt>
                  <c:pt idx="1102">
                    <c:v>1جدی</c:v>
                  </c:pt>
                  <c:pt idx="1103">
                    <c:v>1جدی</c:v>
                  </c:pt>
                  <c:pt idx="1104">
                    <c:v>1جدی</c:v>
                  </c:pt>
                  <c:pt idx="1105">
                    <c:v>1جدی</c:v>
                  </c:pt>
                  <c:pt idx="1107">
                    <c:v>1جدی</c:v>
                  </c:pt>
                  <c:pt idx="1108">
                    <c:v>1جدی</c:v>
                  </c:pt>
                  <c:pt idx="1109">
                    <c:v>1جدی</c:v>
                  </c:pt>
                  <c:pt idx="1110">
                    <c:v>1جدی</c:v>
                  </c:pt>
                  <c:pt idx="1111">
                    <c:v>1جدی</c:v>
                  </c:pt>
                  <c:pt idx="1112">
                    <c:v>1جدی</c:v>
                  </c:pt>
                  <c:pt idx="1113">
                    <c:v>1جدی</c:v>
                  </c:pt>
                  <c:pt idx="1115">
                    <c:v> -   </c:v>
                  </c:pt>
                  <c:pt idx="1117">
                    <c:v>تاریخ آغاز</c:v>
                  </c:pt>
                  <c:pt idx="1118">
                    <c:v>12/1395</c:v>
                  </c:pt>
                  <c:pt idx="1119">
                    <c:v>12/1395</c:v>
                  </c:pt>
                  <c:pt idx="1120">
                    <c:v>10/1395</c:v>
                  </c:pt>
                  <c:pt idx="1123">
                    <c:v>تاریخ آغاز</c:v>
                  </c:pt>
                  <c:pt idx="1124">
                    <c:v>01/1397</c:v>
                  </c:pt>
                  <c:pt idx="1125">
                    <c:v>01/1397</c:v>
                  </c:pt>
                  <c:pt idx="1127">
                    <c:v>تاریخ آغاز</c:v>
                  </c:pt>
                  <c:pt idx="1128">
                    <c:v>12/1395</c:v>
                  </c:pt>
                  <c:pt idx="1130">
                    <c:v> -   </c:v>
                  </c:pt>
                  <c:pt idx="1132">
                    <c:v>12/1395</c:v>
                  </c:pt>
                  <c:pt idx="1133">
                    <c:v>12/1395</c:v>
                  </c:pt>
                  <c:pt idx="1136">
                    <c:v>تاریخ ختم</c:v>
                  </c:pt>
                  <c:pt idx="1137">
                    <c:v>30/9/1397</c:v>
                  </c:pt>
                  <c:pt idx="1138">
                    <c:v>30/9/1397</c:v>
                  </c:pt>
                  <c:pt idx="1139">
                    <c:v>30/9/1397</c:v>
                  </c:pt>
                  <c:pt idx="1140">
                    <c:v>30/9/1397</c:v>
                  </c:pt>
                  <c:pt idx="1141">
                    <c:v>30/9/1397</c:v>
                  </c:pt>
                  <c:pt idx="1142">
                    <c:v>30/9/1397</c:v>
                  </c:pt>
                </c:lvl>
                <c:lvl>
                  <c:pt idx="2">
                    <c:v>واحد</c:v>
                  </c:pt>
                  <c:pt idx="4">
                    <c:v>پروژه عایداتی</c:v>
                  </c:pt>
                  <c:pt idx="5">
                    <c:v>کیلو گرام </c:v>
                  </c:pt>
                  <c:pt idx="6">
                    <c:v>کرایه </c:v>
                  </c:pt>
                  <c:pt idx="8">
                    <c:v>واحد</c:v>
                  </c:pt>
                  <c:pt idx="9">
                    <c:v>پروژه عایداتی</c:v>
                  </c:pt>
                  <c:pt idx="10">
                    <c:v>کیلو گرام</c:v>
                  </c:pt>
                  <c:pt idx="11">
                    <c:v>کرایه </c:v>
                  </c:pt>
                  <c:pt idx="13">
                    <c:v>واحد</c:v>
                  </c:pt>
                  <c:pt idx="14">
                    <c:v>پروژه عایداتی</c:v>
                  </c:pt>
                  <c:pt idx="15">
                    <c:v>کیلوگرام</c:v>
                  </c:pt>
                  <c:pt idx="16">
                    <c:v>متر مکعب </c:v>
                  </c:pt>
                  <c:pt idx="19">
                    <c:v>واحد</c:v>
                  </c:pt>
                  <c:pt idx="20">
                    <c:v>پروژه عایداتی</c:v>
                  </c:pt>
                  <c:pt idx="21">
                    <c:v>کیلو گرام </c:v>
                  </c:pt>
                  <c:pt idx="22">
                    <c:v>اصله</c:v>
                  </c:pt>
                  <c:pt idx="24">
                    <c:v>واحد</c:v>
                  </c:pt>
                  <c:pt idx="25">
                    <c:v>پروژه عایداتی</c:v>
                  </c:pt>
                  <c:pt idx="26">
                    <c:v>کیلو گرام </c:v>
                  </c:pt>
                  <c:pt idx="27">
                    <c:v>0</c:v>
                  </c:pt>
                  <c:pt idx="29">
                    <c:v>واحد</c:v>
                  </c:pt>
                  <c:pt idx="30">
                    <c:v>نفر </c:v>
                  </c:pt>
                  <c:pt idx="33">
                    <c:v>واحد</c:v>
                  </c:pt>
                  <c:pt idx="34">
                    <c:v>نفر</c:v>
                  </c:pt>
                  <c:pt idx="37">
                    <c:v>واحد</c:v>
                  </c:pt>
                  <c:pt idx="38">
                    <c:v>نفر</c:v>
                  </c:pt>
                  <c:pt idx="41">
                    <c:v>واحد</c:v>
                  </c:pt>
                  <c:pt idx="42">
                    <c:v>پروژه عایداتی</c:v>
                  </c:pt>
                  <c:pt idx="43">
                    <c:v>کیلو گرام </c:v>
                  </c:pt>
                  <c:pt idx="44">
                    <c:v>متر مکعب </c:v>
                  </c:pt>
                  <c:pt idx="47">
                    <c:v>واحد</c:v>
                  </c:pt>
                  <c:pt idx="48">
                    <c:v>پروژه عایداتی</c:v>
                  </c:pt>
                  <c:pt idx="49">
                    <c:v>کیلو گرام </c:v>
                  </c:pt>
                  <c:pt idx="50">
                    <c:v>کیلو گرام </c:v>
                  </c:pt>
                  <c:pt idx="51">
                    <c:v>متر مکعب </c:v>
                  </c:pt>
                  <c:pt idx="52">
                    <c:v>انجممن </c:v>
                  </c:pt>
                  <c:pt idx="54">
                    <c:v>واحد</c:v>
                  </c:pt>
                  <c:pt idx="55">
                    <c:v>پروژه عایداتی</c:v>
                  </c:pt>
                  <c:pt idx="56">
                    <c:v>کیلو گرام </c:v>
                  </c:pt>
                  <c:pt idx="59">
                    <c:v>واحد</c:v>
                  </c:pt>
                  <c:pt idx="60">
                    <c:v>پروژه عایداتی</c:v>
                  </c:pt>
                  <c:pt idx="61">
                    <c:v>کیلو گرام </c:v>
                  </c:pt>
                  <c:pt idx="64">
                    <c:v>واحد</c:v>
                  </c:pt>
                  <c:pt idx="65">
                    <c:v>نفر </c:v>
                  </c:pt>
                  <c:pt idx="70">
                    <c:v>واحد مقیاس</c:v>
                  </c:pt>
                  <c:pt idx="72">
                    <c:v>انجمن</c:v>
                  </c:pt>
                  <c:pt idx="73">
                    <c:v>نفر</c:v>
                  </c:pt>
                  <c:pt idx="74">
                    <c:v>هکتار</c:v>
                  </c:pt>
                  <c:pt idx="75">
                    <c:v>هکتار</c:v>
                  </c:pt>
                  <c:pt idx="76">
                    <c:v>کیلوگرام </c:v>
                  </c:pt>
                  <c:pt idx="77">
                    <c:v>مترمربع </c:v>
                  </c:pt>
                  <c:pt idx="78">
                    <c:v>هکتار</c:v>
                  </c:pt>
                  <c:pt idx="79">
                    <c:v>حلقه </c:v>
                  </c:pt>
                  <c:pt idx="80">
                    <c:v>چاله </c:v>
                  </c:pt>
                  <c:pt idx="81">
                    <c:v>کیلوگرام</c:v>
                  </c:pt>
                  <c:pt idx="82">
                    <c:v>عدد</c:v>
                  </c:pt>
                  <c:pt idx="83">
                    <c:v>لیتر</c:v>
                  </c:pt>
                  <c:pt idx="86">
                    <c:v>واحد</c:v>
                  </c:pt>
                  <c:pt idx="87">
                    <c:v>هکتار</c:v>
                  </c:pt>
                  <c:pt idx="88">
                    <c:v>نفر</c:v>
                  </c:pt>
                  <c:pt idx="89">
                    <c:v>نفر</c:v>
                  </c:pt>
                  <c:pt idx="90">
                    <c:v>هکتار</c:v>
                  </c:pt>
                  <c:pt idx="91">
                    <c:v>قلمه </c:v>
                  </c:pt>
                  <c:pt idx="92">
                    <c:v>قلمه </c:v>
                  </c:pt>
                  <c:pt idx="93">
                    <c:v>اصله</c:v>
                  </c:pt>
                  <c:pt idx="94">
                    <c:v>عراده </c:v>
                  </c:pt>
                  <c:pt idx="95">
                    <c:v>حلقه </c:v>
                  </c:pt>
                  <c:pt idx="96">
                    <c:v>اصله</c:v>
                  </c:pt>
                  <c:pt idx="97">
                    <c:v>لیتر</c:v>
                  </c:pt>
                  <c:pt idx="98">
                    <c:v>اصله</c:v>
                  </c:pt>
                  <c:pt idx="99">
                    <c:v>مترمربع </c:v>
                  </c:pt>
                  <c:pt idx="100">
                    <c:v>کیلوگرام </c:v>
                  </c:pt>
                  <c:pt idx="101">
                    <c:v>مترمربع </c:v>
                  </c:pt>
                  <c:pt idx="102">
                    <c:v>کیلوگرام</c:v>
                  </c:pt>
                  <c:pt idx="103">
                    <c:v>مترمربع </c:v>
                  </c:pt>
                  <c:pt idx="104">
                    <c:v>نفر</c:v>
                  </c:pt>
                  <c:pt idx="105">
                    <c:v>هکتار</c:v>
                  </c:pt>
                  <c:pt idx="106">
                    <c:v>حلقه </c:v>
                  </c:pt>
                  <c:pt idx="107">
                    <c:v>چاله </c:v>
                  </c:pt>
                  <c:pt idx="108">
                    <c:v>کیلوگرام</c:v>
                  </c:pt>
                  <c:pt idx="109">
                    <c:v>عدد</c:v>
                  </c:pt>
                  <c:pt idx="110">
                    <c:v>لیتر</c:v>
                  </c:pt>
                  <c:pt idx="111">
                    <c:v>لیتر</c:v>
                  </c:pt>
                  <c:pt idx="114">
                    <c:v>واحد</c:v>
                  </c:pt>
                  <c:pt idx="115">
                    <c:v>انجمن</c:v>
                  </c:pt>
                  <c:pt idx="116">
                    <c:v>نفر</c:v>
                  </c:pt>
                  <c:pt idx="117">
                    <c:v>هکتار</c:v>
                  </c:pt>
                  <c:pt idx="118">
                    <c:v>هکتار</c:v>
                  </c:pt>
                  <c:pt idx="119">
                    <c:v>کیلوگرام </c:v>
                  </c:pt>
                  <c:pt idx="120">
                    <c:v>مترمربع </c:v>
                  </c:pt>
                  <c:pt idx="121">
                    <c:v>هکتار</c:v>
                  </c:pt>
                  <c:pt idx="122">
                    <c:v>حلقه </c:v>
                  </c:pt>
                  <c:pt idx="123">
                    <c:v>چاله </c:v>
                  </c:pt>
                  <c:pt idx="124">
                    <c:v>کیلوگرام</c:v>
                  </c:pt>
                  <c:pt idx="125">
                    <c:v>عدد</c:v>
                  </c:pt>
                  <c:pt idx="126">
                    <c:v>لیتر</c:v>
                  </c:pt>
                  <c:pt idx="129">
                    <c:v>واحد</c:v>
                  </c:pt>
                  <c:pt idx="130">
                    <c:v>نفر</c:v>
                  </c:pt>
                  <c:pt idx="131">
                    <c:v>هکتار</c:v>
                  </c:pt>
                  <c:pt idx="132">
                    <c:v>قلمه </c:v>
                  </c:pt>
                  <c:pt idx="133">
                    <c:v>قلمه </c:v>
                  </c:pt>
                  <c:pt idx="134">
                    <c:v>اصله</c:v>
                  </c:pt>
                  <c:pt idx="135">
                    <c:v>عراده </c:v>
                  </c:pt>
                  <c:pt idx="136">
                    <c:v>حلقه </c:v>
                  </c:pt>
                  <c:pt idx="137">
                    <c:v>اصله</c:v>
                  </c:pt>
                  <c:pt idx="138">
                    <c:v>لیتر</c:v>
                  </c:pt>
                  <c:pt idx="139">
                    <c:v>اصله</c:v>
                  </c:pt>
                  <c:pt idx="140">
                    <c:v>مترمربع </c:v>
                  </c:pt>
                  <c:pt idx="141">
                    <c:v>کیلوگرام </c:v>
                  </c:pt>
                  <c:pt idx="142">
                    <c:v>مترمربع </c:v>
                  </c:pt>
                  <c:pt idx="143">
                    <c:v>کیلوگرام</c:v>
                  </c:pt>
                  <c:pt idx="144">
                    <c:v>مترمربع </c:v>
                  </c:pt>
                  <c:pt idx="145">
                    <c:v>نفر</c:v>
                  </c:pt>
                  <c:pt idx="146">
                    <c:v>هکتار</c:v>
                  </c:pt>
                  <c:pt idx="147">
                    <c:v>حلقه </c:v>
                  </c:pt>
                  <c:pt idx="148">
                    <c:v>قلمه </c:v>
                  </c:pt>
                  <c:pt idx="149">
                    <c:v>چاله </c:v>
                  </c:pt>
                  <c:pt idx="150">
                    <c:v>دسته </c:v>
                  </c:pt>
                  <c:pt idx="151">
                    <c:v>عدد</c:v>
                  </c:pt>
                  <c:pt idx="152">
                    <c:v>لیتر</c:v>
                  </c:pt>
                  <c:pt idx="153">
                    <c:v>عراده</c:v>
                  </c:pt>
                  <c:pt idx="154">
                    <c:v>لیتر</c:v>
                  </c:pt>
                  <c:pt idx="157">
                    <c:v>واحد</c:v>
                  </c:pt>
                  <c:pt idx="158">
                    <c:v>انجمن</c:v>
                  </c:pt>
                  <c:pt idx="159">
                    <c:v>نفر</c:v>
                  </c:pt>
                  <c:pt idx="160">
                    <c:v>هکتار</c:v>
                  </c:pt>
                  <c:pt idx="161">
                    <c:v>هکتار</c:v>
                  </c:pt>
                  <c:pt idx="162">
                    <c:v>کیلوگرام </c:v>
                  </c:pt>
                  <c:pt idx="163">
                    <c:v>مترمربع </c:v>
                  </c:pt>
                  <c:pt idx="164">
                    <c:v>هکتار</c:v>
                  </c:pt>
                  <c:pt idx="165">
                    <c:v>حلقه </c:v>
                  </c:pt>
                  <c:pt idx="166">
                    <c:v>حلقه </c:v>
                  </c:pt>
                  <c:pt idx="167">
                    <c:v>کیلوگرام</c:v>
                  </c:pt>
                  <c:pt idx="168">
                    <c:v>عدد</c:v>
                  </c:pt>
                  <c:pt idx="169">
                    <c:v>لیتر</c:v>
                  </c:pt>
                  <c:pt idx="172">
                    <c:v>واحد</c:v>
                  </c:pt>
                  <c:pt idx="173">
                    <c:v>هکتار</c:v>
                  </c:pt>
                  <c:pt idx="174">
                    <c:v>نفر</c:v>
                  </c:pt>
                  <c:pt idx="175">
                    <c:v>نفر</c:v>
                  </c:pt>
                  <c:pt idx="176">
                    <c:v>مترمربع </c:v>
                  </c:pt>
                  <c:pt idx="177">
                    <c:v>نفر</c:v>
                  </c:pt>
                  <c:pt idx="180">
                    <c:v>واحد</c:v>
                  </c:pt>
                  <c:pt idx="181">
                    <c:v>هکتار</c:v>
                  </c:pt>
                  <c:pt idx="182">
                    <c:v>نفر</c:v>
                  </c:pt>
                  <c:pt idx="183">
                    <c:v>نفر</c:v>
                  </c:pt>
                  <c:pt idx="184">
                    <c:v>مترمربع </c:v>
                  </c:pt>
                  <c:pt idx="187">
                    <c:v>واحد</c:v>
                  </c:pt>
                  <c:pt idx="188">
                    <c:v>نفر</c:v>
                  </c:pt>
                  <c:pt idx="189">
                    <c:v>نفر</c:v>
                  </c:pt>
                  <c:pt idx="190">
                    <c:v>انجمن</c:v>
                  </c:pt>
                  <c:pt idx="191">
                    <c:v>نفر</c:v>
                  </c:pt>
                  <c:pt idx="192">
                    <c:v>هکتار</c:v>
                  </c:pt>
                  <c:pt idx="193">
                    <c:v>قلمه </c:v>
                  </c:pt>
                  <c:pt idx="194">
                    <c:v>قلمه </c:v>
                  </c:pt>
                  <c:pt idx="195">
                    <c:v>اصله</c:v>
                  </c:pt>
                  <c:pt idx="196">
                    <c:v>عراده </c:v>
                  </c:pt>
                  <c:pt idx="197">
                    <c:v>حلقه </c:v>
                  </c:pt>
                  <c:pt idx="198">
                    <c:v>اصله</c:v>
                  </c:pt>
                  <c:pt idx="199">
                    <c:v>لیتر</c:v>
                  </c:pt>
                  <c:pt idx="200">
                    <c:v>اصله</c:v>
                  </c:pt>
                  <c:pt idx="201">
                    <c:v>مترمربع </c:v>
                  </c:pt>
                  <c:pt idx="202">
                    <c:v>کیلوگرام </c:v>
                  </c:pt>
                  <c:pt idx="203">
                    <c:v>مترمربع </c:v>
                  </c:pt>
                  <c:pt idx="204">
                    <c:v>کیلوگرام</c:v>
                  </c:pt>
                  <c:pt idx="205">
                    <c:v>مترمربع </c:v>
                  </c:pt>
                  <c:pt idx="206">
                    <c:v>نفر</c:v>
                  </c:pt>
                  <c:pt idx="207">
                    <c:v>هکتار</c:v>
                  </c:pt>
                  <c:pt idx="208">
                    <c:v>قلمه </c:v>
                  </c:pt>
                  <c:pt idx="209">
                    <c:v>لیتر</c:v>
                  </c:pt>
                  <c:pt idx="210">
                    <c:v>لیتر</c:v>
                  </c:pt>
                  <c:pt idx="211">
                    <c:v>عدد</c:v>
                  </c:pt>
                  <c:pt idx="212">
                    <c:v>عدد</c:v>
                  </c:pt>
                  <c:pt idx="213">
                    <c:v>لیتر</c:v>
                  </c:pt>
                  <c:pt idx="216">
                    <c:v>واحد</c:v>
                  </c:pt>
                  <c:pt idx="217">
                    <c:v>نفر</c:v>
                  </c:pt>
                  <c:pt idx="218">
                    <c:v>هکتار</c:v>
                  </c:pt>
                  <c:pt idx="219">
                    <c:v>هکتار</c:v>
                  </c:pt>
                  <c:pt idx="220">
                    <c:v>قلمه </c:v>
                  </c:pt>
                  <c:pt idx="221">
                    <c:v>قلمه </c:v>
                  </c:pt>
                  <c:pt idx="222">
                    <c:v>اصله</c:v>
                  </c:pt>
                  <c:pt idx="223">
                    <c:v>عراده </c:v>
                  </c:pt>
                  <c:pt idx="224">
                    <c:v>حلقه </c:v>
                  </c:pt>
                  <c:pt idx="225">
                    <c:v>اصله</c:v>
                  </c:pt>
                  <c:pt idx="226">
                    <c:v>لیتر</c:v>
                  </c:pt>
                  <c:pt idx="227">
                    <c:v>اصله</c:v>
                  </c:pt>
                  <c:pt idx="228">
                    <c:v>مترمربع </c:v>
                  </c:pt>
                  <c:pt idx="229">
                    <c:v>کیلوگرام </c:v>
                  </c:pt>
                  <c:pt idx="230">
                    <c:v>مترمربع </c:v>
                  </c:pt>
                  <c:pt idx="231">
                    <c:v>کیلوگرام</c:v>
                  </c:pt>
                  <c:pt idx="232">
                    <c:v>مترمربع </c:v>
                  </c:pt>
                  <c:pt idx="233">
                    <c:v>نفر</c:v>
                  </c:pt>
                  <c:pt idx="234">
                    <c:v>لیتر</c:v>
                  </c:pt>
                  <c:pt idx="237">
                    <c:v>واحد</c:v>
                  </c:pt>
                  <c:pt idx="238">
                    <c:v>انجمن</c:v>
                  </c:pt>
                  <c:pt idx="239">
                    <c:v>نفر</c:v>
                  </c:pt>
                  <c:pt idx="240">
                    <c:v>هکتار</c:v>
                  </c:pt>
                  <c:pt idx="241">
                    <c:v>کیلوگرام </c:v>
                  </c:pt>
                  <c:pt idx="242">
                    <c:v>مترمربع </c:v>
                  </c:pt>
                  <c:pt idx="245">
                    <c:v>واحد</c:v>
                  </c:pt>
                  <c:pt idx="246">
                    <c:v>انجمن</c:v>
                  </c:pt>
                  <c:pt idx="247">
                    <c:v>نفر</c:v>
                  </c:pt>
                  <c:pt idx="248">
                    <c:v>هکتار</c:v>
                  </c:pt>
                  <c:pt idx="249">
                    <c:v>کیلوگرام </c:v>
                  </c:pt>
                  <c:pt idx="250">
                    <c:v>مترمربع </c:v>
                  </c:pt>
                  <c:pt idx="253">
                    <c:v>واحد</c:v>
                  </c:pt>
                  <c:pt idx="254">
                    <c:v>انجمن</c:v>
                  </c:pt>
                  <c:pt idx="255">
                    <c:v>نفر</c:v>
                  </c:pt>
                  <c:pt idx="256">
                    <c:v>هکتار</c:v>
                  </c:pt>
                  <c:pt idx="257">
                    <c:v>کیلوگرام </c:v>
                  </c:pt>
                  <c:pt idx="258">
                    <c:v>مترمربع </c:v>
                  </c:pt>
                  <c:pt idx="261">
                    <c:v>واحد</c:v>
                  </c:pt>
                  <c:pt idx="262">
                    <c:v>انجمن</c:v>
                  </c:pt>
                  <c:pt idx="263">
                    <c:v>نفر</c:v>
                  </c:pt>
                  <c:pt idx="264">
                    <c:v>هکتار</c:v>
                  </c:pt>
                  <c:pt idx="265">
                    <c:v>کیلوگرام </c:v>
                  </c:pt>
                  <c:pt idx="266">
                    <c:v>مترمربع </c:v>
                  </c:pt>
                  <c:pt idx="269">
                    <c:v>واحد</c:v>
                  </c:pt>
                  <c:pt idx="270">
                    <c:v>انجمن</c:v>
                  </c:pt>
                  <c:pt idx="271">
                    <c:v>نفر</c:v>
                  </c:pt>
                  <c:pt idx="272">
                    <c:v>هکتار</c:v>
                  </c:pt>
                  <c:pt idx="273">
                    <c:v>کیلوگرام </c:v>
                  </c:pt>
                  <c:pt idx="274">
                    <c:v>مترمربع </c:v>
                  </c:pt>
                  <c:pt idx="275">
                    <c:v>هکتار</c:v>
                  </c:pt>
                  <c:pt idx="276">
                    <c:v>حلقه </c:v>
                  </c:pt>
                  <c:pt idx="277">
                    <c:v>حلقه </c:v>
                  </c:pt>
                  <c:pt idx="278">
                    <c:v>کیلوگرام</c:v>
                  </c:pt>
                  <c:pt idx="279">
                    <c:v>عدد</c:v>
                  </c:pt>
                  <c:pt idx="280">
                    <c:v>لیتر</c:v>
                  </c:pt>
                  <c:pt idx="283">
                    <c:v>واحد</c:v>
                  </c:pt>
                  <c:pt idx="284">
                    <c:v>انجمن</c:v>
                  </c:pt>
                  <c:pt idx="285">
                    <c:v>نفر</c:v>
                  </c:pt>
                  <c:pt idx="286">
                    <c:v>هکتار</c:v>
                  </c:pt>
                  <c:pt idx="287">
                    <c:v>کیلوگرام </c:v>
                  </c:pt>
                  <c:pt idx="288">
                    <c:v>مترمربع </c:v>
                  </c:pt>
                  <c:pt idx="289">
                    <c:v>هکتار</c:v>
                  </c:pt>
                  <c:pt idx="290">
                    <c:v>حلقه </c:v>
                  </c:pt>
                  <c:pt idx="291">
                    <c:v>حلقه </c:v>
                  </c:pt>
                  <c:pt idx="292">
                    <c:v>کیلوگرام</c:v>
                  </c:pt>
                  <c:pt idx="293">
                    <c:v>عدد</c:v>
                  </c:pt>
                  <c:pt idx="294">
                    <c:v>لیتر</c:v>
                  </c:pt>
                  <c:pt idx="297">
                    <c:v>نفر</c:v>
                  </c:pt>
                  <c:pt idx="298">
                    <c:v>نفر</c:v>
                  </c:pt>
                  <c:pt idx="302">
                    <c:v>واحد</c:v>
                  </c:pt>
                  <c:pt idx="303">
                    <c:v>مترمربع </c:v>
                  </c:pt>
                  <c:pt idx="304">
                    <c:v>مترمربع </c:v>
                  </c:pt>
                  <c:pt idx="305">
                    <c:v>متر</c:v>
                  </c:pt>
                  <c:pt idx="306">
                    <c:v>مترمکعب</c:v>
                  </c:pt>
                  <c:pt idx="307">
                    <c:v>اصله </c:v>
                  </c:pt>
                  <c:pt idx="308">
                    <c:v>مترمربع </c:v>
                  </c:pt>
                  <c:pt idx="309">
                    <c:v>مرتبه </c:v>
                  </c:pt>
                  <c:pt idx="311">
                    <c:v>مترمربع </c:v>
                  </c:pt>
                  <c:pt idx="312">
                    <c:v>مترمربع </c:v>
                  </c:pt>
                  <c:pt idx="313">
                    <c:v>متر</c:v>
                  </c:pt>
                  <c:pt idx="314">
                    <c:v>مترمکعب</c:v>
                  </c:pt>
                  <c:pt idx="315">
                    <c:v>اصله </c:v>
                  </c:pt>
                  <c:pt idx="316">
                    <c:v>مترمربع </c:v>
                  </c:pt>
                  <c:pt idx="317">
                    <c:v>مرتبه </c:v>
                  </c:pt>
                  <c:pt idx="319">
                    <c:v>متر مربع </c:v>
                  </c:pt>
                  <c:pt idx="320">
                    <c:v>متر مربع </c:v>
                  </c:pt>
                  <c:pt idx="321">
                    <c:v>متر مربع </c:v>
                  </c:pt>
                  <c:pt idx="322">
                    <c:v>متر</c:v>
                  </c:pt>
                  <c:pt idx="323">
                    <c:v>متر مکعب</c:v>
                  </c:pt>
                  <c:pt idx="324">
                    <c:v>اصله </c:v>
                  </c:pt>
                  <c:pt idx="325">
                    <c:v>مرتبه </c:v>
                  </c:pt>
                  <c:pt idx="327">
                    <c:v>مترمربع </c:v>
                  </c:pt>
                  <c:pt idx="328">
                    <c:v>متر </c:v>
                  </c:pt>
                  <c:pt idx="329">
                    <c:v>متر</c:v>
                  </c:pt>
                  <c:pt idx="330">
                    <c:v>مترمربع </c:v>
                  </c:pt>
                  <c:pt idx="331">
                    <c:v>مرتبه </c:v>
                  </c:pt>
                  <c:pt idx="332">
                    <c:v>مرتبه </c:v>
                  </c:pt>
                  <c:pt idx="334">
                    <c:v>مترمربع </c:v>
                  </c:pt>
                  <c:pt idx="335">
                    <c:v>مترمربع </c:v>
                  </c:pt>
                  <c:pt idx="336">
                    <c:v>مترمربع </c:v>
                  </c:pt>
                  <c:pt idx="337">
                    <c:v>متر</c:v>
                  </c:pt>
                  <c:pt idx="338">
                    <c:v>مترمکعب</c:v>
                  </c:pt>
                  <c:pt idx="339">
                    <c:v>مرتبه </c:v>
                  </c:pt>
                  <c:pt idx="340">
                    <c:v>شبکه </c:v>
                  </c:pt>
                  <c:pt idx="342">
                    <c:v>مترمربع </c:v>
                  </c:pt>
                  <c:pt idx="343">
                    <c:v>مترمربع </c:v>
                  </c:pt>
                  <c:pt idx="344">
                    <c:v>متر</c:v>
                  </c:pt>
                  <c:pt idx="345">
                    <c:v>مترمکعب</c:v>
                  </c:pt>
                  <c:pt idx="346">
                    <c:v>مرتبه </c:v>
                  </c:pt>
                  <c:pt idx="348">
                    <c:v>مترمربع </c:v>
                  </c:pt>
                  <c:pt idx="349">
                    <c:v>مترمربع </c:v>
                  </c:pt>
                  <c:pt idx="350">
                    <c:v>خریطه</c:v>
                  </c:pt>
                  <c:pt idx="351">
                    <c:v>مترمربع </c:v>
                  </c:pt>
                  <c:pt idx="352">
                    <c:v>متر</c:v>
                  </c:pt>
                  <c:pt idx="353">
                    <c:v>مترمکعب</c:v>
                  </c:pt>
                  <c:pt idx="354">
                    <c:v>اصله </c:v>
                  </c:pt>
                  <c:pt idx="355">
                    <c:v>مرتبه </c:v>
                  </c:pt>
                  <c:pt idx="357">
                    <c:v>مترمربع </c:v>
                  </c:pt>
                  <c:pt idx="358">
                    <c:v>مترمربع </c:v>
                  </c:pt>
                  <c:pt idx="359">
                    <c:v>متر</c:v>
                  </c:pt>
                  <c:pt idx="360">
                    <c:v>مترمکعب</c:v>
                  </c:pt>
                  <c:pt idx="361">
                    <c:v>مترمربع </c:v>
                  </c:pt>
                  <c:pt idx="362">
                    <c:v>سیتم </c:v>
                  </c:pt>
                  <c:pt idx="363">
                    <c:v>مرتبه </c:v>
                  </c:pt>
                  <c:pt idx="365">
                    <c:v>مترمربع </c:v>
                  </c:pt>
                  <c:pt idx="366">
                    <c:v>مترمربع </c:v>
                  </c:pt>
                  <c:pt idx="367">
                    <c:v>مترمربع </c:v>
                  </c:pt>
                  <c:pt idx="368">
                    <c:v>متر</c:v>
                  </c:pt>
                  <c:pt idx="369">
                    <c:v>مترمکعب</c:v>
                  </c:pt>
                  <c:pt idx="370">
                    <c:v>اصله </c:v>
                  </c:pt>
                  <c:pt idx="371">
                    <c:v>مرتبه </c:v>
                  </c:pt>
                  <c:pt idx="373">
                    <c:v>مترمربع </c:v>
                  </c:pt>
                  <c:pt idx="374">
                    <c:v>مترمربع </c:v>
                  </c:pt>
                  <c:pt idx="375">
                    <c:v>خریطه</c:v>
                  </c:pt>
                  <c:pt idx="376">
                    <c:v>مترمربع </c:v>
                  </c:pt>
                  <c:pt idx="377">
                    <c:v>متر</c:v>
                  </c:pt>
                  <c:pt idx="378">
                    <c:v>مترمکعب</c:v>
                  </c:pt>
                  <c:pt idx="379">
                    <c:v>اصله </c:v>
                  </c:pt>
                  <c:pt idx="380">
                    <c:v>مرتبه </c:v>
                  </c:pt>
                  <c:pt idx="382">
                    <c:v>مترمربع </c:v>
                  </c:pt>
                  <c:pt idx="383">
                    <c:v>مترمربع </c:v>
                  </c:pt>
                  <c:pt idx="384">
                    <c:v>مترمربع </c:v>
                  </c:pt>
                  <c:pt idx="385">
                    <c:v>متر</c:v>
                  </c:pt>
                  <c:pt idx="386">
                    <c:v>مترمکعب</c:v>
                  </c:pt>
                  <c:pt idx="387">
                    <c:v>اصله </c:v>
                  </c:pt>
                  <c:pt idx="388">
                    <c:v>مرتبه </c:v>
                  </c:pt>
                  <c:pt idx="390">
                    <c:v>مترمربع </c:v>
                  </c:pt>
                  <c:pt idx="391">
                    <c:v>مترمربع </c:v>
                  </c:pt>
                  <c:pt idx="392">
                    <c:v>مترمربع </c:v>
                  </c:pt>
                  <c:pt idx="393">
                    <c:v>متر</c:v>
                  </c:pt>
                  <c:pt idx="394">
                    <c:v>مترمکعب</c:v>
                  </c:pt>
                  <c:pt idx="395">
                    <c:v>حلقه </c:v>
                  </c:pt>
                  <c:pt idx="396">
                    <c:v>مرتبه </c:v>
                  </c:pt>
                  <c:pt idx="398">
                    <c:v>مترمربع </c:v>
                  </c:pt>
                  <c:pt idx="399">
                    <c:v>مترمربع </c:v>
                  </c:pt>
                  <c:pt idx="400">
                    <c:v>مترمربع </c:v>
                  </c:pt>
                  <c:pt idx="401">
                    <c:v>خریطه</c:v>
                  </c:pt>
                  <c:pt idx="402">
                    <c:v>متر</c:v>
                  </c:pt>
                  <c:pt idx="403">
                    <c:v>مترمکعب</c:v>
                  </c:pt>
                  <c:pt idx="404">
                    <c:v>اصله </c:v>
                  </c:pt>
                  <c:pt idx="405">
                    <c:v>حلقه </c:v>
                  </c:pt>
                  <c:pt idx="406">
                    <c:v>مرتبه </c:v>
                  </c:pt>
                  <c:pt idx="408">
                    <c:v>مترمربع </c:v>
                  </c:pt>
                  <c:pt idx="409">
                    <c:v>مترمربع </c:v>
                  </c:pt>
                  <c:pt idx="410">
                    <c:v>متر</c:v>
                  </c:pt>
                  <c:pt idx="411">
                    <c:v>مترمکعب</c:v>
                  </c:pt>
                  <c:pt idx="412">
                    <c:v>مترمربع </c:v>
                  </c:pt>
                  <c:pt idx="413">
                    <c:v>باب </c:v>
                  </c:pt>
                  <c:pt idx="414">
                    <c:v>مرتبه </c:v>
                  </c:pt>
                  <c:pt idx="416">
                    <c:v>مترمربع </c:v>
                  </c:pt>
                  <c:pt idx="417">
                    <c:v>متر</c:v>
                  </c:pt>
                  <c:pt idx="418">
                    <c:v>مترمکعب</c:v>
                  </c:pt>
                  <c:pt idx="419">
                    <c:v>مترمربع </c:v>
                  </c:pt>
                  <c:pt idx="420">
                    <c:v>حلقه </c:v>
                  </c:pt>
                  <c:pt idx="421">
                    <c:v>مرتبه </c:v>
                  </c:pt>
                  <c:pt idx="423">
                    <c:v>مترمربع </c:v>
                  </c:pt>
                  <c:pt idx="424">
                    <c:v>مترمربع </c:v>
                  </c:pt>
                  <c:pt idx="425">
                    <c:v>خریطه</c:v>
                  </c:pt>
                  <c:pt idx="426">
                    <c:v>مترمربع </c:v>
                  </c:pt>
                  <c:pt idx="427">
                    <c:v>متر</c:v>
                  </c:pt>
                  <c:pt idx="428">
                    <c:v>مترمکعب</c:v>
                  </c:pt>
                  <c:pt idx="429">
                    <c:v>اصله </c:v>
                  </c:pt>
                  <c:pt idx="430">
                    <c:v>حلقه </c:v>
                  </c:pt>
                  <c:pt idx="431">
                    <c:v>اصله </c:v>
                  </c:pt>
                  <c:pt idx="432">
                    <c:v>اصله </c:v>
                  </c:pt>
                  <c:pt idx="433">
                    <c:v>مرتبه </c:v>
                  </c:pt>
                  <c:pt idx="434">
                    <c:v>نفر</c:v>
                  </c:pt>
                  <c:pt idx="435">
                    <c:v>مرتبه </c:v>
                  </c:pt>
                  <c:pt idx="436">
                    <c:v>اصله </c:v>
                  </c:pt>
                  <c:pt idx="437">
                    <c:v>مرتبه </c:v>
                  </c:pt>
                  <c:pt idx="439">
                    <c:v>مترمربع </c:v>
                  </c:pt>
                  <c:pt idx="440">
                    <c:v>مترمربع </c:v>
                  </c:pt>
                  <c:pt idx="441">
                    <c:v>متر</c:v>
                  </c:pt>
                  <c:pt idx="442">
                    <c:v>مترمکعب</c:v>
                  </c:pt>
                  <c:pt idx="443">
                    <c:v>اصله </c:v>
                  </c:pt>
                  <c:pt idx="444">
                    <c:v>مترمربع </c:v>
                  </c:pt>
                  <c:pt idx="445">
                    <c:v>مرتبه </c:v>
                  </c:pt>
                  <c:pt idx="447">
                    <c:v>مترمربع </c:v>
                  </c:pt>
                  <c:pt idx="448">
                    <c:v>خریطه</c:v>
                  </c:pt>
                  <c:pt idx="449">
                    <c:v>مترمربع </c:v>
                  </c:pt>
                  <c:pt idx="450">
                    <c:v>متر</c:v>
                  </c:pt>
                  <c:pt idx="451">
                    <c:v>مترمکعب</c:v>
                  </c:pt>
                  <c:pt idx="452">
                    <c:v>اصله </c:v>
                  </c:pt>
                  <c:pt idx="453">
                    <c:v>مترمربع </c:v>
                  </c:pt>
                  <c:pt idx="454">
                    <c:v>مرتبه </c:v>
                  </c:pt>
                  <c:pt idx="456">
                    <c:v>مترمربع </c:v>
                  </c:pt>
                  <c:pt idx="457">
                    <c:v>مترمربع </c:v>
                  </c:pt>
                  <c:pt idx="458">
                    <c:v>مترمربع </c:v>
                  </c:pt>
                  <c:pt idx="459">
                    <c:v>متر</c:v>
                  </c:pt>
                  <c:pt idx="460">
                    <c:v>مترمکعب</c:v>
                  </c:pt>
                  <c:pt idx="461">
                    <c:v>اصله </c:v>
                  </c:pt>
                  <c:pt idx="462">
                    <c:v>مرتبه </c:v>
                  </c:pt>
                  <c:pt idx="464">
                    <c:v>مترمربع </c:v>
                  </c:pt>
                  <c:pt idx="465">
                    <c:v>مترمربع </c:v>
                  </c:pt>
                  <c:pt idx="466">
                    <c:v>خریطه</c:v>
                  </c:pt>
                  <c:pt idx="467">
                    <c:v>مترمربع </c:v>
                  </c:pt>
                  <c:pt idx="468">
                    <c:v>متر</c:v>
                  </c:pt>
                  <c:pt idx="469">
                    <c:v>مترمکعب</c:v>
                  </c:pt>
                  <c:pt idx="470">
                    <c:v>اصله </c:v>
                  </c:pt>
                  <c:pt idx="471">
                    <c:v>مرتبه </c:v>
                  </c:pt>
                  <c:pt idx="473">
                    <c:v>مترمربع </c:v>
                  </c:pt>
                  <c:pt idx="474">
                    <c:v>مترمربع </c:v>
                  </c:pt>
                  <c:pt idx="475">
                    <c:v>متر</c:v>
                  </c:pt>
                  <c:pt idx="476">
                    <c:v>مترمکعب</c:v>
                  </c:pt>
                  <c:pt idx="477">
                    <c:v>اصله </c:v>
                  </c:pt>
                  <c:pt idx="478">
                    <c:v>مترمربع </c:v>
                  </c:pt>
                  <c:pt idx="479">
                    <c:v>مرتبه </c:v>
                  </c:pt>
                  <c:pt idx="481">
                    <c:v>مترمربع </c:v>
                  </c:pt>
                  <c:pt idx="482">
                    <c:v>مترمربع </c:v>
                  </c:pt>
                  <c:pt idx="483">
                    <c:v>متر</c:v>
                  </c:pt>
                  <c:pt idx="484">
                    <c:v>مترمکعب</c:v>
                  </c:pt>
                  <c:pt idx="485">
                    <c:v>اصله </c:v>
                  </c:pt>
                  <c:pt idx="486">
                    <c:v>مترمربع </c:v>
                  </c:pt>
                  <c:pt idx="487">
                    <c:v>مرتبه </c:v>
                  </c:pt>
                  <c:pt idx="489">
                    <c:v>مترمربع </c:v>
                  </c:pt>
                  <c:pt idx="490">
                    <c:v>مترمربع </c:v>
                  </c:pt>
                  <c:pt idx="491">
                    <c:v>متر</c:v>
                  </c:pt>
                  <c:pt idx="492">
                    <c:v>مترمکعب</c:v>
                  </c:pt>
                  <c:pt idx="493">
                    <c:v>اصله </c:v>
                  </c:pt>
                  <c:pt idx="494">
                    <c:v>مترمربع </c:v>
                  </c:pt>
                  <c:pt idx="495">
                    <c:v>مرتبه </c:v>
                  </c:pt>
                  <c:pt idx="497">
                    <c:v>مترمربع </c:v>
                  </c:pt>
                  <c:pt idx="498">
                    <c:v>مترمربع </c:v>
                  </c:pt>
                  <c:pt idx="499">
                    <c:v>متر</c:v>
                  </c:pt>
                  <c:pt idx="500">
                    <c:v>مترمکعب</c:v>
                  </c:pt>
                  <c:pt idx="501">
                    <c:v>اصله </c:v>
                  </c:pt>
                  <c:pt idx="502">
                    <c:v>مترمربع </c:v>
                  </c:pt>
                  <c:pt idx="503">
                    <c:v>مرتبه </c:v>
                  </c:pt>
                  <c:pt idx="505">
                    <c:v>مترمربع </c:v>
                  </c:pt>
                  <c:pt idx="506">
                    <c:v>مترمربع </c:v>
                  </c:pt>
                  <c:pt idx="507">
                    <c:v>مترمربع </c:v>
                  </c:pt>
                  <c:pt idx="508">
                    <c:v>متر</c:v>
                  </c:pt>
                  <c:pt idx="509">
                    <c:v>مترمکعب</c:v>
                  </c:pt>
                  <c:pt idx="510">
                    <c:v>اصله </c:v>
                  </c:pt>
                  <c:pt idx="511">
                    <c:v>مرتبه </c:v>
                  </c:pt>
                  <c:pt idx="513">
                    <c:v>مترمربع </c:v>
                  </c:pt>
                  <c:pt idx="514">
                    <c:v>مترمربع </c:v>
                  </c:pt>
                  <c:pt idx="515">
                    <c:v>مترمربع </c:v>
                  </c:pt>
                  <c:pt idx="516">
                    <c:v>متر</c:v>
                  </c:pt>
                  <c:pt idx="517">
                    <c:v>مترمکعب</c:v>
                  </c:pt>
                  <c:pt idx="518">
                    <c:v>مرتبه </c:v>
                  </c:pt>
                  <c:pt idx="520">
                    <c:v>مترمربع </c:v>
                  </c:pt>
                  <c:pt idx="521">
                    <c:v>مترمربع </c:v>
                  </c:pt>
                  <c:pt idx="522">
                    <c:v>مترمربع </c:v>
                  </c:pt>
                  <c:pt idx="523">
                    <c:v>متر</c:v>
                  </c:pt>
                  <c:pt idx="524">
                    <c:v>مترمکعب</c:v>
                  </c:pt>
                  <c:pt idx="525">
                    <c:v>اصله </c:v>
                  </c:pt>
                  <c:pt idx="526">
                    <c:v>مرتبه </c:v>
                  </c:pt>
                  <c:pt idx="528">
                    <c:v>مترمربع </c:v>
                  </c:pt>
                  <c:pt idx="529">
                    <c:v>مترمربع </c:v>
                  </c:pt>
                  <c:pt idx="530">
                    <c:v>مترمربع </c:v>
                  </c:pt>
                  <c:pt idx="531">
                    <c:v>متر</c:v>
                  </c:pt>
                  <c:pt idx="532">
                    <c:v>مترمکعب</c:v>
                  </c:pt>
                  <c:pt idx="533">
                    <c:v>اصله </c:v>
                  </c:pt>
                  <c:pt idx="534">
                    <c:v>مرتبه </c:v>
                  </c:pt>
                  <c:pt idx="538">
                    <c:v>واحد</c:v>
                  </c:pt>
                  <c:pt idx="539">
                    <c:v>نفر</c:v>
                  </c:pt>
                  <c:pt idx="540">
                    <c:v>نفر</c:v>
                  </c:pt>
                  <c:pt idx="541">
                    <c:v>متر</c:v>
                  </c:pt>
                  <c:pt idx="542">
                    <c:v>شبکه</c:v>
                  </c:pt>
                  <c:pt idx="544">
                    <c:v>واحد</c:v>
                  </c:pt>
                  <c:pt idx="545">
                    <c:v>نفر</c:v>
                  </c:pt>
                  <c:pt idx="546">
                    <c:v>نفر</c:v>
                  </c:pt>
                  <c:pt idx="548">
                    <c:v>واحد</c:v>
                  </c:pt>
                  <c:pt idx="549">
                    <c:v>نفر</c:v>
                  </c:pt>
                  <c:pt idx="553">
                    <c:v>نفر </c:v>
                  </c:pt>
                  <c:pt idx="565">
                    <c:v>محل امضاء</c:v>
                  </c:pt>
                  <c:pt idx="581">
                    <c:v>ارزش مجموعی</c:v>
                  </c:pt>
                  <c:pt idx="583">
                    <c:v> 800,000 </c:v>
                  </c:pt>
                  <c:pt idx="584">
                    <c:v> 64,000 </c:v>
                  </c:pt>
                  <c:pt idx="585">
                    <c:v> 40,000 </c:v>
                  </c:pt>
                  <c:pt idx="586">
                    <c:v> 904,000 </c:v>
                  </c:pt>
                  <c:pt idx="587">
                    <c:v>قیمت</c:v>
                  </c:pt>
                  <c:pt idx="588">
                    <c:v> 1,000,000 </c:v>
                  </c:pt>
                  <c:pt idx="589">
                    <c:v> 80,000 </c:v>
                  </c:pt>
                  <c:pt idx="590">
                    <c:v> 40,000 </c:v>
                  </c:pt>
                  <c:pt idx="591">
                    <c:v> 1,120,000 </c:v>
                  </c:pt>
                  <c:pt idx="592">
                    <c:v>قیمت</c:v>
                  </c:pt>
                  <c:pt idx="593">
                    <c:v> 400,000 </c:v>
                  </c:pt>
                  <c:pt idx="594">
                    <c:v> 32,000 </c:v>
                  </c:pt>
                  <c:pt idx="595">
                    <c:v> 160,000 </c:v>
                  </c:pt>
                  <c:pt idx="596">
                    <c:v> 40,000 </c:v>
                  </c:pt>
                  <c:pt idx="597">
                    <c:v> 632,000 </c:v>
                  </c:pt>
                  <c:pt idx="598">
                    <c:v>قیمت</c:v>
                  </c:pt>
                  <c:pt idx="599">
                    <c:v> 400,000 </c:v>
                  </c:pt>
                  <c:pt idx="600">
                    <c:v> 32,000 </c:v>
                  </c:pt>
                  <c:pt idx="601">
                    <c:v> 40,000 </c:v>
                  </c:pt>
                  <c:pt idx="602">
                    <c:v> 472,000 </c:v>
                  </c:pt>
                  <c:pt idx="603">
                    <c:v>قیمت</c:v>
                  </c:pt>
                  <c:pt idx="604">
                    <c:v> 600,000 </c:v>
                  </c:pt>
                  <c:pt idx="605">
                    <c:v> 48,000 </c:v>
                  </c:pt>
                  <c:pt idx="606">
                    <c:v> 40,000 </c:v>
                  </c:pt>
                  <c:pt idx="607">
                    <c:v> 688,000 </c:v>
                  </c:pt>
                  <c:pt idx="608">
                    <c:v>قیمت</c:v>
                  </c:pt>
                  <c:pt idx="609">
                    <c:v> 288,000 </c:v>
                  </c:pt>
                  <c:pt idx="610">
                    <c:v> 10,000 </c:v>
                  </c:pt>
                  <c:pt idx="611">
                    <c:v> 298,000 </c:v>
                  </c:pt>
                  <c:pt idx="612">
                    <c:v>قیمت</c:v>
                  </c:pt>
                  <c:pt idx="613">
                    <c:v> 144,000 </c:v>
                  </c:pt>
                  <c:pt idx="614">
                    <c:v> 10,000 </c:v>
                  </c:pt>
                  <c:pt idx="615">
                    <c:v> 154,000 </c:v>
                  </c:pt>
                  <c:pt idx="616">
                    <c:v>قیمت</c:v>
                  </c:pt>
                  <c:pt idx="617">
                    <c:v> 144,000 </c:v>
                  </c:pt>
                  <c:pt idx="618">
                    <c:v> 10,000 </c:v>
                  </c:pt>
                  <c:pt idx="619">
                    <c:v> 154,000 </c:v>
                  </c:pt>
                  <c:pt idx="620">
                    <c:v>قیمت</c:v>
                  </c:pt>
                  <c:pt idx="621">
                    <c:v> 1,000,000 </c:v>
                  </c:pt>
                  <c:pt idx="622">
                    <c:v> 75,000 </c:v>
                  </c:pt>
                  <c:pt idx="623">
                    <c:v> 160,000 </c:v>
                  </c:pt>
                  <c:pt idx="624">
                    <c:v> 40,000 </c:v>
                  </c:pt>
                  <c:pt idx="625">
                    <c:v> 1,275,000 </c:v>
                  </c:pt>
                  <c:pt idx="626">
                    <c:v>قیمت</c:v>
                  </c:pt>
                  <c:pt idx="627">
                    <c:v> 1,800,000 </c:v>
                  </c:pt>
                  <c:pt idx="628">
                    <c:v> 126,000 </c:v>
                  </c:pt>
                  <c:pt idx="629">
                    <c:v> 1,250,000 </c:v>
                  </c:pt>
                  <c:pt idx="630">
                    <c:v> 720,000 </c:v>
                  </c:pt>
                  <c:pt idx="631">
                    <c:v> 1,000,000 </c:v>
                  </c:pt>
                  <c:pt idx="632">
                    <c:v> 4,896,000 </c:v>
                  </c:pt>
                  <c:pt idx="633">
                    <c:v>قیمت</c:v>
                  </c:pt>
                  <c:pt idx="634">
                    <c:v> 400,000 </c:v>
                  </c:pt>
                  <c:pt idx="635">
                    <c:v> 32,000 </c:v>
                  </c:pt>
                  <c:pt idx="636">
                    <c:v> 40,000 </c:v>
                  </c:pt>
                  <c:pt idx="637">
                    <c:v> 472,000 </c:v>
                  </c:pt>
                  <c:pt idx="638">
                    <c:v>قیمت</c:v>
                  </c:pt>
                  <c:pt idx="639">
                    <c:v> 600,000 </c:v>
                  </c:pt>
                  <c:pt idx="640">
                    <c:v> 48,000 </c:v>
                  </c:pt>
                  <c:pt idx="641">
                    <c:v> 40,000 </c:v>
                  </c:pt>
                  <c:pt idx="642">
                    <c:v> 688,000 </c:v>
                  </c:pt>
                  <c:pt idx="643">
                    <c:v>قیمت</c:v>
                  </c:pt>
                  <c:pt idx="644">
                    <c:v> 1,200,000 </c:v>
                  </c:pt>
                  <c:pt idx="645">
                    <c:v> 817,000 </c:v>
                  </c:pt>
                  <c:pt idx="646">
                    <c:v> 2,017,000 </c:v>
                  </c:pt>
                  <c:pt idx="647">
                    <c:v> 13,770,000 </c:v>
                  </c:pt>
                  <c:pt idx="649">
                    <c:v>بودجه </c:v>
                  </c:pt>
                  <c:pt idx="651">
                    <c:v> 10,000 </c:v>
                  </c:pt>
                  <c:pt idx="652">
                    <c:v> 60,000 </c:v>
                  </c:pt>
                  <c:pt idx="655">
                    <c:v> 150,000 </c:v>
                  </c:pt>
                  <c:pt idx="656">
                    <c:v> 60,000 </c:v>
                  </c:pt>
                  <c:pt idx="658">
                    <c:v> 160,000 </c:v>
                  </c:pt>
                  <c:pt idx="659">
                    <c:v> 80,000 </c:v>
                  </c:pt>
                  <c:pt idx="660">
                    <c:v> 60,000 </c:v>
                  </c:pt>
                  <c:pt idx="661">
                    <c:v> 3,600 </c:v>
                  </c:pt>
                  <c:pt idx="662">
                    <c:v> 10,000 </c:v>
                  </c:pt>
                  <c:pt idx="663">
                    <c:v> 18,569 </c:v>
                  </c:pt>
                  <c:pt idx="664">
                    <c:v> 612,169 </c:v>
                  </c:pt>
                  <c:pt idx="665">
                    <c:v>قیمت</c:v>
                  </c:pt>
                  <c:pt idx="667">
                    <c:v> 108,000 </c:v>
                  </c:pt>
                  <c:pt idx="668">
                    <c:v> 96,000 </c:v>
                  </c:pt>
                  <c:pt idx="670">
                    <c:v> 60,800 </c:v>
                  </c:pt>
                  <c:pt idx="671">
                    <c:v> 101,333 </c:v>
                  </c:pt>
                  <c:pt idx="672">
                    <c:v> 264,000 </c:v>
                  </c:pt>
                  <c:pt idx="673">
                    <c:v> 100,000 </c:v>
                  </c:pt>
                  <c:pt idx="674">
                    <c:v> 330,000 </c:v>
                  </c:pt>
                  <c:pt idx="675">
                    <c:v> 330,000 </c:v>
                  </c:pt>
                  <c:pt idx="676">
                    <c:v> 264,000 </c:v>
                  </c:pt>
                  <c:pt idx="677">
                    <c:v> 528,000 </c:v>
                  </c:pt>
                  <c:pt idx="678">
                    <c:v> 160,000 </c:v>
                  </c:pt>
                  <c:pt idx="679">
                    <c:v> 7,500 </c:v>
                  </c:pt>
                  <c:pt idx="680">
                    <c:v> 2,000 </c:v>
                  </c:pt>
                  <c:pt idx="681">
                    <c:v> 16,000 </c:v>
                  </c:pt>
                  <c:pt idx="682">
                    <c:v> 80,000 </c:v>
                  </c:pt>
                  <c:pt idx="683">
                    <c:v> 72,000 </c:v>
                  </c:pt>
                  <c:pt idx="685">
                    <c:v> 160,000 </c:v>
                  </c:pt>
                  <c:pt idx="686">
                    <c:v> 80,000 </c:v>
                  </c:pt>
                  <c:pt idx="687">
                    <c:v> 60,000 </c:v>
                  </c:pt>
                  <c:pt idx="688">
                    <c:v> 3,600 </c:v>
                  </c:pt>
                  <c:pt idx="689">
                    <c:v> 10,000 </c:v>
                  </c:pt>
                  <c:pt idx="690">
                    <c:v> 10,000 </c:v>
                  </c:pt>
                  <c:pt idx="691">
                    <c:v> 18,569 </c:v>
                  </c:pt>
                  <c:pt idx="692">
                    <c:v> 2,861,802 </c:v>
                  </c:pt>
                  <c:pt idx="693">
                    <c:v>قیمت</c:v>
                  </c:pt>
                  <c:pt idx="694">
                    <c:v> 10,000 </c:v>
                  </c:pt>
                  <c:pt idx="695">
                    <c:v> 60,000 </c:v>
                  </c:pt>
                  <c:pt idx="698">
                    <c:v> 100,000 </c:v>
                  </c:pt>
                  <c:pt idx="699">
                    <c:v> 100,000 </c:v>
                  </c:pt>
                  <c:pt idx="701">
                    <c:v> 160,000 </c:v>
                  </c:pt>
                  <c:pt idx="702">
                    <c:v> 80,000 </c:v>
                  </c:pt>
                  <c:pt idx="703">
                    <c:v> 60,000 </c:v>
                  </c:pt>
                  <c:pt idx="704">
                    <c:v> 3,600 </c:v>
                  </c:pt>
                  <c:pt idx="705">
                    <c:v> 10,000 </c:v>
                  </c:pt>
                  <c:pt idx="706">
                    <c:v> 18,569 </c:v>
                  </c:pt>
                  <c:pt idx="707">
                    <c:v> 602,169 </c:v>
                  </c:pt>
                  <c:pt idx="708">
                    <c:v>قیمت</c:v>
                  </c:pt>
                  <c:pt idx="709">
                    <c:v> 96,000 </c:v>
                  </c:pt>
                  <c:pt idx="711">
                    <c:v> 48,000 </c:v>
                  </c:pt>
                  <c:pt idx="712">
                    <c:v> 80,000 </c:v>
                  </c:pt>
                  <c:pt idx="713">
                    <c:v> 200,000 </c:v>
                  </c:pt>
                  <c:pt idx="714">
                    <c:v> 100,000 </c:v>
                  </c:pt>
                  <c:pt idx="715">
                    <c:v> 250,000 </c:v>
                  </c:pt>
                  <c:pt idx="716">
                    <c:v> 250,000 </c:v>
                  </c:pt>
                  <c:pt idx="717">
                    <c:v> 200,000 </c:v>
                  </c:pt>
                  <c:pt idx="718">
                    <c:v> 400,000 </c:v>
                  </c:pt>
                  <c:pt idx="719">
                    <c:v> 160,000 </c:v>
                  </c:pt>
                  <c:pt idx="720">
                    <c:v> 7,500 </c:v>
                  </c:pt>
                  <c:pt idx="721">
                    <c:v> 2,000 </c:v>
                  </c:pt>
                  <c:pt idx="722">
                    <c:v> 16,000 </c:v>
                  </c:pt>
                  <c:pt idx="723">
                    <c:v> 80,000 </c:v>
                  </c:pt>
                  <c:pt idx="724">
                    <c:v> 72,000 </c:v>
                  </c:pt>
                  <c:pt idx="726">
                    <c:v> 160,000 </c:v>
                  </c:pt>
                  <c:pt idx="727">
                    <c:v> 80,000 </c:v>
                  </c:pt>
                  <c:pt idx="728">
                    <c:v> 80,000 </c:v>
                  </c:pt>
                  <c:pt idx="729">
                    <c:v> 15,000 </c:v>
                  </c:pt>
                  <c:pt idx="730">
                    <c:v> 3,600 </c:v>
                  </c:pt>
                  <c:pt idx="731">
                    <c:v> 20,000 </c:v>
                  </c:pt>
                  <c:pt idx="732">
                    <c:v> 8,000 </c:v>
                  </c:pt>
                  <c:pt idx="733">
                    <c:v> 10,000 </c:v>
                  </c:pt>
                  <c:pt idx="734">
                    <c:v> 18,569 </c:v>
                  </c:pt>
                  <c:pt idx="735">
                    <c:v> 2,356,669 </c:v>
                  </c:pt>
                  <c:pt idx="736">
                    <c:v>قیمت</c:v>
                  </c:pt>
                  <c:pt idx="737">
                    <c:v> 10,000 </c:v>
                  </c:pt>
                  <c:pt idx="738">
                    <c:v> 60,000 </c:v>
                  </c:pt>
                  <c:pt idx="741">
                    <c:v> 100,000 </c:v>
                  </c:pt>
                  <c:pt idx="742">
                    <c:v> 100,000 </c:v>
                  </c:pt>
                  <c:pt idx="744">
                    <c:v> 320,000 </c:v>
                  </c:pt>
                  <c:pt idx="745">
                    <c:v> 160,000 </c:v>
                  </c:pt>
                  <c:pt idx="746">
                    <c:v> 120,000 </c:v>
                  </c:pt>
                  <c:pt idx="747">
                    <c:v> 7,200 </c:v>
                  </c:pt>
                  <c:pt idx="748">
                    <c:v> 20,000 </c:v>
                  </c:pt>
                  <c:pt idx="749">
                    <c:v> 18,569 </c:v>
                  </c:pt>
                  <c:pt idx="750">
                    <c:v> 915,769 </c:v>
                  </c:pt>
                  <c:pt idx="751">
                    <c:v>قیمت</c:v>
                  </c:pt>
                  <c:pt idx="753">
                    <c:v> 108,000 </c:v>
                  </c:pt>
                  <c:pt idx="754">
                    <c:v> 96,000 </c:v>
                  </c:pt>
                  <c:pt idx="755">
                    <c:v> 160,000 </c:v>
                  </c:pt>
                  <c:pt idx="756">
                    <c:v> 72,000 </c:v>
                  </c:pt>
                  <c:pt idx="757">
                    <c:v> 18,569 </c:v>
                  </c:pt>
                  <c:pt idx="758">
                    <c:v> 454,569 </c:v>
                  </c:pt>
                  <c:pt idx="759">
                    <c:v>قیمت</c:v>
                  </c:pt>
                  <c:pt idx="761">
                    <c:v> 96,000 </c:v>
                  </c:pt>
                  <c:pt idx="762">
                    <c:v> 72,000 </c:v>
                  </c:pt>
                  <c:pt idx="763">
                    <c:v> 160,000 </c:v>
                  </c:pt>
                  <c:pt idx="764">
                    <c:v> 18,569 </c:v>
                  </c:pt>
                  <c:pt idx="765">
                    <c:v> 346,569 </c:v>
                  </c:pt>
                  <c:pt idx="766">
                    <c:v>قیمت</c:v>
                  </c:pt>
                  <c:pt idx="767">
                    <c:v> 108,000 </c:v>
                  </c:pt>
                  <c:pt idx="768">
                    <c:v> 96,000 </c:v>
                  </c:pt>
                  <c:pt idx="769">
                    <c:v> 10,000 </c:v>
                  </c:pt>
                  <c:pt idx="770">
                    <c:v> 60,000 </c:v>
                  </c:pt>
                  <c:pt idx="772">
                    <c:v> 48,000 </c:v>
                  </c:pt>
                  <c:pt idx="773">
                    <c:v> 80,000 </c:v>
                  </c:pt>
                  <c:pt idx="774">
                    <c:v> 200,000 </c:v>
                  </c:pt>
                  <c:pt idx="775">
                    <c:v> 100,000 </c:v>
                  </c:pt>
                  <c:pt idx="776">
                    <c:v> 250,000 </c:v>
                  </c:pt>
                  <c:pt idx="777">
                    <c:v> 250,000 </c:v>
                  </c:pt>
                  <c:pt idx="778">
                    <c:v> 200,000 </c:v>
                  </c:pt>
                  <c:pt idx="779">
                    <c:v> 400,000 </c:v>
                  </c:pt>
                  <c:pt idx="780">
                    <c:v> 160,000 </c:v>
                  </c:pt>
                  <c:pt idx="781">
                    <c:v> 7,500 </c:v>
                  </c:pt>
                  <c:pt idx="782">
                    <c:v> 2,000 </c:v>
                  </c:pt>
                  <c:pt idx="783">
                    <c:v> 16,000 </c:v>
                  </c:pt>
                  <c:pt idx="784">
                    <c:v> 80,000 </c:v>
                  </c:pt>
                  <c:pt idx="785">
                    <c:v> 72,000 </c:v>
                  </c:pt>
                  <c:pt idx="786">
                    <c:v> -   </c:v>
                  </c:pt>
                  <c:pt idx="787">
                    <c:v> 160,000 </c:v>
                  </c:pt>
                  <c:pt idx="788">
                    <c:v> 10,000 </c:v>
                  </c:pt>
                  <c:pt idx="789">
                    <c:v> 80,000 </c:v>
                  </c:pt>
                  <c:pt idx="790">
                    <c:v> 60,000 </c:v>
                  </c:pt>
                  <c:pt idx="791">
                    <c:v> 3,600 </c:v>
                  </c:pt>
                  <c:pt idx="792">
                    <c:v> 10,000 </c:v>
                  </c:pt>
                  <c:pt idx="793">
                    <c:v> 18,569 </c:v>
                  </c:pt>
                  <c:pt idx="794">
                    <c:v> 2,481,669 </c:v>
                  </c:pt>
                  <c:pt idx="795">
                    <c:v>قیمت</c:v>
                  </c:pt>
                  <c:pt idx="796">
                    <c:v> 96,000 </c:v>
                  </c:pt>
                  <c:pt idx="799">
                    <c:v> 48,000 </c:v>
                  </c:pt>
                  <c:pt idx="800">
                    <c:v> 80,000 </c:v>
                  </c:pt>
                  <c:pt idx="801">
                    <c:v> 200,000 </c:v>
                  </c:pt>
                  <c:pt idx="802">
                    <c:v> 100,000 </c:v>
                  </c:pt>
                  <c:pt idx="803">
                    <c:v> 250,000 </c:v>
                  </c:pt>
                  <c:pt idx="804">
                    <c:v> 250,000 </c:v>
                  </c:pt>
                  <c:pt idx="805">
                    <c:v> 200,000 </c:v>
                  </c:pt>
                  <c:pt idx="806">
                    <c:v> 400,000 </c:v>
                  </c:pt>
                  <c:pt idx="807">
                    <c:v> 160,000 </c:v>
                  </c:pt>
                  <c:pt idx="808">
                    <c:v> 7,500 </c:v>
                  </c:pt>
                  <c:pt idx="809">
                    <c:v> 2,000 </c:v>
                  </c:pt>
                  <c:pt idx="810">
                    <c:v> 16,000 </c:v>
                  </c:pt>
                  <c:pt idx="811">
                    <c:v> 80,000 </c:v>
                  </c:pt>
                  <c:pt idx="812">
                    <c:v> 72,000 </c:v>
                  </c:pt>
                  <c:pt idx="813">
                    <c:v> 10,000 </c:v>
                  </c:pt>
                  <c:pt idx="814">
                    <c:v> 18,569 </c:v>
                  </c:pt>
                  <c:pt idx="815">
                    <c:v> 1,990,069 </c:v>
                  </c:pt>
                  <c:pt idx="816">
                    <c:v>قیمت</c:v>
                  </c:pt>
                  <c:pt idx="817">
                    <c:v> 10,000 </c:v>
                  </c:pt>
                  <c:pt idx="818">
                    <c:v> 60,000 </c:v>
                  </c:pt>
                  <c:pt idx="820">
                    <c:v> 250,000 </c:v>
                  </c:pt>
                  <c:pt idx="821">
                    <c:v> 100,000 </c:v>
                  </c:pt>
                  <c:pt idx="822">
                    <c:v> 18,569 </c:v>
                  </c:pt>
                  <c:pt idx="823">
                    <c:v> 438,569 </c:v>
                  </c:pt>
                  <c:pt idx="824">
                    <c:v>قیمت</c:v>
                  </c:pt>
                  <c:pt idx="825">
                    <c:v> 10,000 </c:v>
                  </c:pt>
                  <c:pt idx="826">
                    <c:v> 60,000 </c:v>
                  </c:pt>
                  <c:pt idx="828">
                    <c:v> 250,000 </c:v>
                  </c:pt>
                  <c:pt idx="829">
                    <c:v> 100,000 </c:v>
                  </c:pt>
                  <c:pt idx="830">
                    <c:v> 18,569 </c:v>
                  </c:pt>
                  <c:pt idx="831">
                    <c:v> 438,569 </c:v>
                  </c:pt>
                  <c:pt idx="832">
                    <c:v>قیمت</c:v>
                  </c:pt>
                  <c:pt idx="833">
                    <c:v> 10,000 </c:v>
                  </c:pt>
                  <c:pt idx="834">
                    <c:v> 60,000 </c:v>
                  </c:pt>
                  <c:pt idx="836">
                    <c:v> 250,000 </c:v>
                  </c:pt>
                  <c:pt idx="837">
                    <c:v> 100,000 </c:v>
                  </c:pt>
                  <c:pt idx="838">
                    <c:v> 18,569 </c:v>
                  </c:pt>
                  <c:pt idx="839">
                    <c:v> 438,569 </c:v>
                  </c:pt>
                  <c:pt idx="840">
                    <c:v>قیمت</c:v>
                  </c:pt>
                  <c:pt idx="841">
                    <c:v> 10,000 </c:v>
                  </c:pt>
                  <c:pt idx="842">
                    <c:v> 60,000 </c:v>
                  </c:pt>
                  <c:pt idx="844">
                    <c:v> 100,000 </c:v>
                  </c:pt>
                  <c:pt idx="845">
                    <c:v> 100,000 </c:v>
                  </c:pt>
                  <c:pt idx="846">
                    <c:v> 18,569 </c:v>
                  </c:pt>
                  <c:pt idx="847">
                    <c:v> 288,569 </c:v>
                  </c:pt>
                  <c:pt idx="848">
                    <c:v>قیمت</c:v>
                  </c:pt>
                  <c:pt idx="849">
                    <c:v> 10,000 </c:v>
                  </c:pt>
                  <c:pt idx="850">
                    <c:v> 60,000 </c:v>
                  </c:pt>
                  <c:pt idx="852">
                    <c:v> 100,000 </c:v>
                  </c:pt>
                  <c:pt idx="853">
                    <c:v> 100,000 </c:v>
                  </c:pt>
                  <c:pt idx="855">
                    <c:v> 320,000 </c:v>
                  </c:pt>
                  <c:pt idx="856">
                    <c:v> 160,000 </c:v>
                  </c:pt>
                  <c:pt idx="857">
                    <c:v> 120,000 </c:v>
                  </c:pt>
                  <c:pt idx="858">
                    <c:v> 7,200 </c:v>
                  </c:pt>
                  <c:pt idx="859">
                    <c:v> 20,000 </c:v>
                  </c:pt>
                  <c:pt idx="860">
                    <c:v> 18,569 </c:v>
                  </c:pt>
                  <c:pt idx="861">
                    <c:v> 915,769 </c:v>
                  </c:pt>
                  <c:pt idx="862">
                    <c:v>قیمت</c:v>
                  </c:pt>
                  <c:pt idx="863">
                    <c:v> 10,000 </c:v>
                  </c:pt>
                  <c:pt idx="864">
                    <c:v> 60,000 </c:v>
                  </c:pt>
                  <c:pt idx="866">
                    <c:v> 250,000 </c:v>
                  </c:pt>
                  <c:pt idx="867">
                    <c:v> 100,000 </c:v>
                  </c:pt>
                  <c:pt idx="869">
                    <c:v> 160,000 </c:v>
                  </c:pt>
                  <c:pt idx="870">
                    <c:v> 80,000 </c:v>
                  </c:pt>
                  <c:pt idx="871">
                    <c:v> 60,000 </c:v>
                  </c:pt>
                  <c:pt idx="872">
                    <c:v> 7,200 </c:v>
                  </c:pt>
                  <c:pt idx="873">
                    <c:v> 10,000 </c:v>
                  </c:pt>
                  <c:pt idx="874">
                    <c:v> 18,569 </c:v>
                  </c:pt>
                  <c:pt idx="875">
                    <c:v> 755,769 </c:v>
                  </c:pt>
                  <c:pt idx="876">
                    <c:v> 914,221 </c:v>
                  </c:pt>
                  <c:pt idx="877">
                    <c:v> 997,332 </c:v>
                  </c:pt>
                  <c:pt idx="878">
                    <c:v> 1,911,553 </c:v>
                  </c:pt>
                  <c:pt idx="879">
                    <c:v> 17,808,821 </c:v>
                  </c:pt>
                  <c:pt idx="881">
                    <c:v>قیمت</c:v>
                  </c:pt>
                  <c:pt idx="882">
                    <c:v> 10,000 </c:v>
                  </c:pt>
                  <c:pt idx="883">
                    <c:v> 120,000 </c:v>
                  </c:pt>
                  <c:pt idx="884">
                    <c:v> 2,872 </c:v>
                  </c:pt>
                  <c:pt idx="885">
                    <c:v> 16,000 </c:v>
                  </c:pt>
                  <c:pt idx="886">
                    <c:v> 20,000 </c:v>
                  </c:pt>
                  <c:pt idx="887">
                    <c:v> 4,000 </c:v>
                  </c:pt>
                  <c:pt idx="888">
                    <c:v> 30,000 </c:v>
                  </c:pt>
                  <c:pt idx="889">
                    <c:v> 202,872 </c:v>
                  </c:pt>
                  <c:pt idx="890">
                    <c:v> 50,000 </c:v>
                  </c:pt>
                  <c:pt idx="891">
                    <c:v> 120,000 </c:v>
                  </c:pt>
                  <c:pt idx="892">
                    <c:v> 2,500 </c:v>
                  </c:pt>
                  <c:pt idx="893">
                    <c:v> 8,800 </c:v>
                  </c:pt>
                  <c:pt idx="894">
                    <c:v> 20,000 </c:v>
                  </c:pt>
                  <c:pt idx="895">
                    <c:v> 4,000 </c:v>
                  </c:pt>
                  <c:pt idx="896">
                    <c:v> 20,000 </c:v>
                  </c:pt>
                  <c:pt idx="897">
                    <c:v> 225,300 </c:v>
                  </c:pt>
                  <c:pt idx="898">
                    <c:v> 50,000 </c:v>
                  </c:pt>
                  <c:pt idx="899">
                    <c:v> 4,000 </c:v>
                  </c:pt>
                  <c:pt idx="900">
                    <c:v> 120,000 </c:v>
                  </c:pt>
                  <c:pt idx="901">
                    <c:v> 3,000 </c:v>
                  </c:pt>
                  <c:pt idx="902">
                    <c:v> 16,000 </c:v>
                  </c:pt>
                  <c:pt idx="903">
                    <c:v> 20,000 </c:v>
                  </c:pt>
                  <c:pt idx="904">
                    <c:v> 20,000 </c:v>
                  </c:pt>
                  <c:pt idx="905">
                    <c:v> 233,000 </c:v>
                  </c:pt>
                  <c:pt idx="906">
                    <c:v> 300,000 </c:v>
                  </c:pt>
                  <c:pt idx="907">
                    <c:v> 20,000 </c:v>
                  </c:pt>
                  <c:pt idx="908">
                    <c:v> 5,000 </c:v>
                  </c:pt>
                  <c:pt idx="909">
                    <c:v> 8,000 </c:v>
                  </c:pt>
                  <c:pt idx="910">
                    <c:v> 200,000 </c:v>
                  </c:pt>
                  <c:pt idx="911">
                    <c:v> 10,865,694 </c:v>
                  </c:pt>
                  <c:pt idx="912">
                    <c:v> 11,398,694 </c:v>
                  </c:pt>
                  <c:pt idx="913">
                    <c:v> 40,000 </c:v>
                  </c:pt>
                  <c:pt idx="914">
                    <c:v> 4,000 </c:v>
                  </c:pt>
                  <c:pt idx="915">
                    <c:v> 120,000 </c:v>
                  </c:pt>
                  <c:pt idx="916">
                    <c:v> 2,500 </c:v>
                  </c:pt>
                  <c:pt idx="917">
                    <c:v> 9,600 </c:v>
                  </c:pt>
                  <c:pt idx="918">
                    <c:v> 30,000 </c:v>
                  </c:pt>
                  <c:pt idx="919">
                    <c:v> 1,250,000 </c:v>
                  </c:pt>
                  <c:pt idx="920">
                    <c:v> 1,456,100 </c:v>
                  </c:pt>
                  <c:pt idx="921">
                    <c:v> 40,000 </c:v>
                  </c:pt>
                  <c:pt idx="922">
                    <c:v> 160,000 </c:v>
                  </c:pt>
                  <c:pt idx="923">
                    <c:v> 2,500 </c:v>
                  </c:pt>
                  <c:pt idx="924">
                    <c:v> 9,600 </c:v>
                  </c:pt>
                  <c:pt idx="925">
                    <c:v> 30,000 </c:v>
                  </c:pt>
                  <c:pt idx="926">
                    <c:v> 242,100 </c:v>
                  </c:pt>
                  <c:pt idx="927">
                    <c:v> 150,000 </c:v>
                  </c:pt>
                  <c:pt idx="928">
                    <c:v> 8,000 </c:v>
                  </c:pt>
                  <c:pt idx="929">
                    <c:v> 26,667 </c:v>
                  </c:pt>
                  <c:pt idx="930">
                    <c:v> 280,000 </c:v>
                  </c:pt>
                  <c:pt idx="931">
                    <c:v> 3,000 </c:v>
                  </c:pt>
                  <c:pt idx="932">
                    <c:v> 16,000 </c:v>
                  </c:pt>
                  <c:pt idx="933">
                    <c:v> 20,000 </c:v>
                  </c:pt>
                  <c:pt idx="934">
                    <c:v> 30,000 </c:v>
                  </c:pt>
                  <c:pt idx="935">
                    <c:v> 533,667 </c:v>
                  </c:pt>
                  <c:pt idx="936">
                    <c:v> 30,000 </c:v>
                  </c:pt>
                  <c:pt idx="937">
                    <c:v> 80,000 </c:v>
                  </c:pt>
                  <c:pt idx="938">
                    <c:v> 3,000 </c:v>
                  </c:pt>
                  <c:pt idx="939">
                    <c:v> 12,000 </c:v>
                  </c:pt>
                  <c:pt idx="940">
                    <c:v> 4,000 </c:v>
                  </c:pt>
                  <c:pt idx="941">
                    <c:v> 1,563,000 </c:v>
                  </c:pt>
                  <c:pt idx="942">
                    <c:v> 20,000 </c:v>
                  </c:pt>
                  <c:pt idx="943">
                    <c:v> 1,712,000 </c:v>
                  </c:pt>
                  <c:pt idx="944">
                    <c:v> 50,000 </c:v>
                  </c:pt>
                  <c:pt idx="945">
                    <c:v> 4,000 </c:v>
                  </c:pt>
                  <c:pt idx="946">
                    <c:v> 240,000 </c:v>
                  </c:pt>
                  <c:pt idx="947">
                    <c:v> 3,000 </c:v>
                  </c:pt>
                  <c:pt idx="948">
                    <c:v> 12,000 </c:v>
                  </c:pt>
                  <c:pt idx="949">
                    <c:v> 20,000 </c:v>
                  </c:pt>
                  <c:pt idx="950">
                    <c:v> 30,000 </c:v>
                  </c:pt>
                  <c:pt idx="951">
                    <c:v> 359,000 </c:v>
                  </c:pt>
                  <c:pt idx="952">
                    <c:v> 60,000 </c:v>
                  </c:pt>
                  <c:pt idx="953">
                    <c:v> 4,000 </c:v>
                  </c:pt>
                  <c:pt idx="954">
                    <c:v> 26,667 </c:v>
                  </c:pt>
                  <c:pt idx="955">
                    <c:v> 200,000 </c:v>
                  </c:pt>
                  <c:pt idx="956">
                    <c:v> 3,000 </c:v>
                  </c:pt>
                  <c:pt idx="957">
                    <c:v> 9,600 </c:v>
                  </c:pt>
                  <c:pt idx="958">
                    <c:v> 20,000 </c:v>
                  </c:pt>
                  <c:pt idx="959">
                    <c:v> 30,000 </c:v>
                  </c:pt>
                  <c:pt idx="960">
                    <c:v> 353,267 </c:v>
                  </c:pt>
                  <c:pt idx="961">
                    <c:v> 50,000 </c:v>
                  </c:pt>
                  <c:pt idx="962">
                    <c:v> 4,000 </c:v>
                  </c:pt>
                  <c:pt idx="963">
                    <c:v> 200,000 </c:v>
                  </c:pt>
                  <c:pt idx="964">
                    <c:v> 3,000 </c:v>
                  </c:pt>
                  <c:pt idx="965">
                    <c:v> 16,000 </c:v>
                  </c:pt>
                  <c:pt idx="966">
                    <c:v> 20,000 </c:v>
                  </c:pt>
                  <c:pt idx="967">
                    <c:v> 30,000 </c:v>
                  </c:pt>
                  <c:pt idx="968">
                    <c:v> 323,000 </c:v>
                  </c:pt>
                  <c:pt idx="969">
                    <c:v> 60,000 </c:v>
                  </c:pt>
                  <c:pt idx="970">
                    <c:v> 4,000 </c:v>
                  </c:pt>
                  <c:pt idx="971">
                    <c:v> 200,000 </c:v>
                  </c:pt>
                  <c:pt idx="972">
                    <c:v> 2,500 </c:v>
                  </c:pt>
                  <c:pt idx="973">
                    <c:v> 12,000 </c:v>
                  </c:pt>
                  <c:pt idx="974">
                    <c:v> 700,000 </c:v>
                  </c:pt>
                  <c:pt idx="975">
                    <c:v> 30,000 </c:v>
                  </c:pt>
                  <c:pt idx="976">
                    <c:v> 1,008,500 </c:v>
                  </c:pt>
                  <c:pt idx="977">
                    <c:v> 60,000 </c:v>
                  </c:pt>
                  <c:pt idx="978">
                    <c:v> 4,000 </c:v>
                  </c:pt>
                  <c:pt idx="979">
                    <c:v> 200,000 </c:v>
                  </c:pt>
                  <c:pt idx="980">
                    <c:v> 20,000 </c:v>
                  </c:pt>
                  <c:pt idx="981">
                    <c:v> 3,000 </c:v>
                  </c:pt>
                  <c:pt idx="982">
                    <c:v> 8,600 </c:v>
                  </c:pt>
                  <c:pt idx="983">
                    <c:v> 20,000 </c:v>
                  </c:pt>
                  <c:pt idx="984">
                    <c:v> 700,000 </c:v>
                  </c:pt>
                  <c:pt idx="985">
                    <c:v> 30,000 </c:v>
                  </c:pt>
                  <c:pt idx="986">
                    <c:v> 1,045,600 </c:v>
                  </c:pt>
                  <c:pt idx="987">
                    <c:v> 50,000 </c:v>
                  </c:pt>
                  <c:pt idx="988">
                    <c:v> 120,000 </c:v>
                  </c:pt>
                  <c:pt idx="989">
                    <c:v> 2,500 </c:v>
                  </c:pt>
                  <c:pt idx="990">
                    <c:v> 12,000 </c:v>
                  </c:pt>
                  <c:pt idx="991">
                    <c:v> 4,000 </c:v>
                  </c:pt>
                  <c:pt idx="992">
                    <c:v> 585,102 </c:v>
                  </c:pt>
                  <c:pt idx="993">
                    <c:v> 30,000 </c:v>
                  </c:pt>
                  <c:pt idx="994">
                    <c:v> 803,602 </c:v>
                  </c:pt>
                  <c:pt idx="995">
                    <c:v> 100,000 </c:v>
                  </c:pt>
                  <c:pt idx="996">
                    <c:v> 2,500 </c:v>
                  </c:pt>
                  <c:pt idx="997">
                    <c:v> 8,000 </c:v>
                  </c:pt>
                  <c:pt idx="998">
                    <c:v> 4,000 </c:v>
                  </c:pt>
                  <c:pt idx="999">
                    <c:v> 500,000 </c:v>
                  </c:pt>
                  <c:pt idx="1000">
                    <c:v> 20,000 </c:v>
                  </c:pt>
                  <c:pt idx="1001">
                    <c:v> 634,500 </c:v>
                  </c:pt>
                  <c:pt idx="1002">
                    <c:v> 150,000 </c:v>
                  </c:pt>
                  <c:pt idx="1003">
                    <c:v> 8,000 </c:v>
                  </c:pt>
                  <c:pt idx="1004">
                    <c:v> 53,333 </c:v>
                  </c:pt>
                  <c:pt idx="1005">
                    <c:v> 280,000 </c:v>
                  </c:pt>
                  <c:pt idx="1006">
                    <c:v> 3,000 </c:v>
                  </c:pt>
                  <c:pt idx="1007">
                    <c:v> 16,000 </c:v>
                  </c:pt>
                  <c:pt idx="1008">
                    <c:v> 30,000 </c:v>
                  </c:pt>
                  <c:pt idx="1009">
                    <c:v> 133,333 </c:v>
                  </c:pt>
                  <c:pt idx="1010">
                    <c:v> 66,667 </c:v>
                  </c:pt>
                  <c:pt idx="1011">
                    <c:v> 66,667 </c:v>
                  </c:pt>
                  <c:pt idx="1012">
                    <c:v> 14,000 </c:v>
                  </c:pt>
                  <c:pt idx="1013">
                    <c:v> 18,000 </c:v>
                  </c:pt>
                  <c:pt idx="1014">
                    <c:v> 17,500 </c:v>
                  </c:pt>
                  <c:pt idx="1015">
                    <c:v> 800,000 </c:v>
                  </c:pt>
                  <c:pt idx="1016">
                    <c:v> 101,500 </c:v>
                  </c:pt>
                  <c:pt idx="1017">
                    <c:v> 1,758,000 </c:v>
                  </c:pt>
                  <c:pt idx="1018">
                    <c:v> 40,000 </c:v>
                  </c:pt>
                  <c:pt idx="1019">
                    <c:v> 120,000 </c:v>
                  </c:pt>
                  <c:pt idx="1020">
                    <c:v> 2,500 </c:v>
                  </c:pt>
                  <c:pt idx="1021">
                    <c:v> 8,000 </c:v>
                  </c:pt>
                  <c:pt idx="1022">
                    <c:v> 20,000 </c:v>
                  </c:pt>
                  <c:pt idx="1023">
                    <c:v> 4,000 </c:v>
                  </c:pt>
                  <c:pt idx="1024">
                    <c:v> 20,000 </c:v>
                  </c:pt>
                  <c:pt idx="1025">
                    <c:v> 214,500 </c:v>
                  </c:pt>
                  <c:pt idx="1026">
                    <c:v> 40,000 </c:v>
                  </c:pt>
                  <c:pt idx="1027">
                    <c:v> 40,000 </c:v>
                  </c:pt>
                  <c:pt idx="1028">
                    <c:v> 200,000 </c:v>
                  </c:pt>
                  <c:pt idx="1029">
                    <c:v> 3,000 </c:v>
                  </c:pt>
                  <c:pt idx="1030">
                    <c:v> 12,000 </c:v>
                  </c:pt>
                  <c:pt idx="1031">
                    <c:v> 20,000 </c:v>
                  </c:pt>
                  <c:pt idx="1032">
                    <c:v> 4,000 </c:v>
                  </c:pt>
                  <c:pt idx="1033">
                    <c:v> 30,000 </c:v>
                  </c:pt>
                  <c:pt idx="1034">
                    <c:v> 349,000 </c:v>
                  </c:pt>
                  <c:pt idx="1035">
                    <c:v> 80,000 </c:v>
                  </c:pt>
                  <c:pt idx="1036">
                    <c:v> 8,000 </c:v>
                  </c:pt>
                  <c:pt idx="1037">
                    <c:v> 240,000 </c:v>
                  </c:pt>
                  <c:pt idx="1038">
                    <c:v> 3,500 </c:v>
                  </c:pt>
                  <c:pt idx="1039">
                    <c:v> 12,000 </c:v>
                  </c:pt>
                  <c:pt idx="1040">
                    <c:v> 60,000 </c:v>
                  </c:pt>
                  <c:pt idx="1041">
                    <c:v> 30,000 </c:v>
                  </c:pt>
                  <c:pt idx="1042">
                    <c:v> 433,500 </c:v>
                  </c:pt>
                  <c:pt idx="1043">
                    <c:v> 60,000 </c:v>
                  </c:pt>
                  <c:pt idx="1044">
                    <c:v> 4,000 </c:v>
                  </c:pt>
                  <c:pt idx="1045">
                    <c:v> 26,667 </c:v>
                  </c:pt>
                  <c:pt idx="1046">
                    <c:v> 240,000 </c:v>
                  </c:pt>
                  <c:pt idx="1047">
                    <c:v> 3,000 </c:v>
                  </c:pt>
                  <c:pt idx="1048">
                    <c:v> 12,000 </c:v>
                  </c:pt>
                  <c:pt idx="1049">
                    <c:v> 20,000 </c:v>
                  </c:pt>
                  <c:pt idx="1050">
                    <c:v> 30,000 </c:v>
                  </c:pt>
                  <c:pt idx="1051">
                    <c:v> 395,667 </c:v>
                  </c:pt>
                  <c:pt idx="1052">
                    <c:v> 60,000 </c:v>
                  </c:pt>
                  <c:pt idx="1053">
                    <c:v> 200,000 </c:v>
                  </c:pt>
                  <c:pt idx="1054">
                    <c:v> 3,500 </c:v>
                  </c:pt>
                  <c:pt idx="1055">
                    <c:v> 12,000 </c:v>
                  </c:pt>
                  <c:pt idx="1056">
                    <c:v> 20,000 </c:v>
                  </c:pt>
                  <c:pt idx="1057">
                    <c:v> 4,000 </c:v>
                  </c:pt>
                  <c:pt idx="1058">
                    <c:v> 30,000 </c:v>
                  </c:pt>
                  <c:pt idx="1059">
                    <c:v> 329,500 </c:v>
                  </c:pt>
                  <c:pt idx="1060">
                    <c:v> 100,000 </c:v>
                  </c:pt>
                  <c:pt idx="1061">
                    <c:v> 240,000 </c:v>
                  </c:pt>
                  <c:pt idx="1062">
                    <c:v> 3,000 </c:v>
                  </c:pt>
                  <c:pt idx="1063">
                    <c:v> 12,000 </c:v>
                  </c:pt>
                  <c:pt idx="1064">
                    <c:v> 24,000 </c:v>
                  </c:pt>
                  <c:pt idx="1065">
                    <c:v> 8,000 </c:v>
                  </c:pt>
                  <c:pt idx="1066">
                    <c:v> 30,000 </c:v>
                  </c:pt>
                  <c:pt idx="1067">
                    <c:v> 417,000 </c:v>
                  </c:pt>
                  <c:pt idx="1068">
                    <c:v> 80,000 </c:v>
                  </c:pt>
                  <c:pt idx="1069">
                    <c:v> 240,000 </c:v>
                  </c:pt>
                  <c:pt idx="1070">
                    <c:v> 3,000 </c:v>
                  </c:pt>
                  <c:pt idx="1071">
                    <c:v> 12,000 </c:v>
                  </c:pt>
                  <c:pt idx="1072">
                    <c:v> 20,000 </c:v>
                  </c:pt>
                  <c:pt idx="1073">
                    <c:v> 4,000 </c:v>
                  </c:pt>
                  <c:pt idx="1074">
                    <c:v> 30,000 </c:v>
                  </c:pt>
                  <c:pt idx="1075">
                    <c:v> 389,000 </c:v>
                  </c:pt>
                  <c:pt idx="1076">
                    <c:v> 150,000 </c:v>
                  </c:pt>
                  <c:pt idx="1077">
                    <c:v> 200,000 </c:v>
                  </c:pt>
                  <c:pt idx="1078">
                    <c:v> 3,000 </c:v>
                  </c:pt>
                  <c:pt idx="1079">
                    <c:v> 12,000 </c:v>
                  </c:pt>
                  <c:pt idx="1080">
                    <c:v> 20,000 </c:v>
                  </c:pt>
                  <c:pt idx="1081">
                    <c:v> 8,000 </c:v>
                  </c:pt>
                  <c:pt idx="1082">
                    <c:v> 30,000 </c:v>
                  </c:pt>
                  <c:pt idx="1083">
                    <c:v> 423,000 </c:v>
                  </c:pt>
                  <c:pt idx="1084">
                    <c:v> 140,000 </c:v>
                  </c:pt>
                  <c:pt idx="1085">
                    <c:v> 8,000 </c:v>
                  </c:pt>
                  <c:pt idx="1086">
                    <c:v> 240,000 </c:v>
                  </c:pt>
                  <c:pt idx="1087">
                    <c:v> 3,000 </c:v>
                  </c:pt>
                  <c:pt idx="1088">
                    <c:v> 12,000 </c:v>
                  </c:pt>
                  <c:pt idx="1089">
                    <c:v> 40,000 </c:v>
                  </c:pt>
                  <c:pt idx="1090">
                    <c:v> 30,000 </c:v>
                  </c:pt>
                  <c:pt idx="1091">
                    <c:v> 473,000 </c:v>
                  </c:pt>
                  <c:pt idx="1092">
                    <c:v> 40,000 </c:v>
                  </c:pt>
                  <c:pt idx="1093">
                    <c:v> 80,000 </c:v>
                  </c:pt>
                  <c:pt idx="1094">
                    <c:v> 4,000 </c:v>
                  </c:pt>
                  <c:pt idx="1095">
                    <c:v> 3,000 </c:v>
                  </c:pt>
                  <c:pt idx="1096">
                    <c:v> 8,000 </c:v>
                  </c:pt>
                  <c:pt idx="1097">
                    <c:v> 30,000 </c:v>
                  </c:pt>
                  <c:pt idx="1098">
                    <c:v> 165,000 </c:v>
                  </c:pt>
                  <c:pt idx="1099">
                    <c:v> 80,000 </c:v>
                  </c:pt>
                  <c:pt idx="1100">
                    <c:v> 4,000 </c:v>
                  </c:pt>
                  <c:pt idx="1101">
                    <c:v> 240,000 </c:v>
                  </c:pt>
                  <c:pt idx="1102">
                    <c:v> 3,000 </c:v>
                  </c:pt>
                  <c:pt idx="1103">
                    <c:v> 9,600 </c:v>
                  </c:pt>
                  <c:pt idx="1104">
                    <c:v> 20,000 </c:v>
                  </c:pt>
                  <c:pt idx="1105">
                    <c:v> 30,000 </c:v>
                  </c:pt>
                  <c:pt idx="1106">
                    <c:v> 386,600 </c:v>
                  </c:pt>
                  <c:pt idx="1107">
                    <c:v> 70,000 </c:v>
                  </c:pt>
                  <c:pt idx="1108">
                    <c:v> 4,000 </c:v>
                  </c:pt>
                  <c:pt idx="1109">
                    <c:v> 200,000 </c:v>
                  </c:pt>
                  <c:pt idx="1110">
                    <c:v> 3,400 </c:v>
                  </c:pt>
                  <c:pt idx="1111">
                    <c:v> 9,600 </c:v>
                  </c:pt>
                  <c:pt idx="1112">
                    <c:v> 20,000 </c:v>
                  </c:pt>
                  <c:pt idx="1113">
                    <c:v> 30,000 </c:v>
                  </c:pt>
                  <c:pt idx="1114">
                    <c:v> 337,000 </c:v>
                  </c:pt>
                  <c:pt idx="1115">
                    <c:v> 26,601,968 </c:v>
                  </c:pt>
                  <c:pt idx="1117">
                    <c:v>ارزش مجموعی</c:v>
                  </c:pt>
                  <c:pt idx="1118">
                    <c:v> 288,000 </c:v>
                  </c:pt>
                  <c:pt idx="1119">
                    <c:v> 720,000 </c:v>
                  </c:pt>
                  <c:pt idx="1120">
                    <c:v> 2,500,000 </c:v>
                  </c:pt>
                  <c:pt idx="1121">
                    <c:v> 2,147,680 </c:v>
                  </c:pt>
                  <c:pt idx="1122">
                    <c:v> 5,655,680 </c:v>
                  </c:pt>
                  <c:pt idx="1123">
                    <c:v>ارزش مجموعی</c:v>
                  </c:pt>
                  <c:pt idx="1124">
                    <c:v> 108,000 </c:v>
                  </c:pt>
                  <c:pt idx="1125">
                    <c:v> 1,080,000 </c:v>
                  </c:pt>
                  <c:pt idx="1126">
                    <c:v> 1,188,000 </c:v>
                  </c:pt>
                  <c:pt idx="1127">
                    <c:v>قیمت</c:v>
                  </c:pt>
                  <c:pt idx="1128">
                    <c:v> 984,420 </c:v>
                  </c:pt>
                  <c:pt idx="1129">
                    <c:v> 984,420 </c:v>
                  </c:pt>
                  <c:pt idx="1130">
                    <c:v> 7,828,100 </c:v>
                  </c:pt>
                  <c:pt idx="1132">
                    <c:v> 1,248,000 </c:v>
                  </c:pt>
                  <c:pt idx="1133">
                    <c:v> 1,083,110 </c:v>
                  </c:pt>
                  <c:pt idx="1134">
                    <c:v> 2,331,110 </c:v>
                  </c:pt>
                  <c:pt idx="1136">
                    <c:v>تاریخ آغاز</c:v>
                  </c:pt>
                  <c:pt idx="1137">
                    <c:v>1/10/1396</c:v>
                  </c:pt>
                  <c:pt idx="1138">
                    <c:v>1/10/1396</c:v>
                  </c:pt>
                  <c:pt idx="1139">
                    <c:v>1/10/1396</c:v>
                  </c:pt>
                  <c:pt idx="1140">
                    <c:v>1/10/1396</c:v>
                  </c:pt>
                  <c:pt idx="1141">
                    <c:v>1/10/1396</c:v>
                  </c:pt>
                  <c:pt idx="1142">
                    <c:v>1/10/1397</c:v>
                  </c:pt>
                </c:lvl>
                <c:lvl>
                  <c:pt idx="2">
                    <c:v>محصول</c:v>
                  </c:pt>
                  <c:pt idx="4">
                    <c:v>احیای 40 هکتار جنگلات پسته با بذر للمی و قروغ نمودن به کمک 8 پروژه عایداتی </c:v>
                  </c:pt>
                  <c:pt idx="5">
                    <c:v>خریداری تخم پسته برای بذر للمی </c:v>
                  </c:pt>
                  <c:pt idx="6">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8">
                    <c:v>محصول</c:v>
                  </c:pt>
                  <c:pt idx="9">
                    <c:v>احیای 50 هکتار جنگلات پسته با بذر للمی و قروغ نمودن به کمک 26 پروژه عایداتی.</c:v>
                  </c:pt>
                  <c:pt idx="10">
                    <c:v>خریداری تخم پسته برای بذر للمی </c:v>
                  </c:pt>
                  <c:pt idx="11">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13">
                    <c:v>محصول</c:v>
                  </c:pt>
                  <c:pt idx="14">
                    <c:v>احیای 20 هکتار جنگلات پسته با بذر للمی و قروغ نمودن به کمک 4 پروژه عایداتی.</c:v>
                  </c:pt>
                  <c:pt idx="15">
                    <c:v>خریداری تخم پسته برای بذر للمی </c:v>
                  </c:pt>
                  <c:pt idx="16">
                    <c:v>تنظیم ابریزه با اعمار 200متر مکعب چکدم و ابگردان از سنگ و مواد محلی در یکی ساحاتیکه تحت خطر سیلاب شدید قرار دارد یا ساحه که احیا میگردد. </c:v>
                  </c:pt>
                  <c:pt idx="1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19">
                    <c:v>محصول</c:v>
                  </c:pt>
                  <c:pt idx="20">
                    <c:v>احیای 20 هکتار جنگلات پسته با بذر للمی و قروغ نمودن به کمک 4 پروژه عایداتی.</c:v>
                  </c:pt>
                  <c:pt idx="21">
                    <c:v>تهیه و خریداری تخم پسته برای بذر </c:v>
                  </c:pt>
                  <c:pt idx="2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24">
                    <c:v>محصول</c:v>
                  </c:pt>
                  <c:pt idx="25">
                    <c:v>احیای 30 هکتار جنگلات پسته با بذر للمی و قروغ نمودن به کمک6 پروژه عایداتی.</c:v>
                  </c:pt>
                  <c:pt idx="26">
                    <c:v>تهیه و خریداری تخم پسته برای بذر </c:v>
                  </c:pt>
                  <c:pt idx="2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29">
                    <c:v>محصول</c:v>
                  </c:pt>
                  <c:pt idx="30">
                    <c:v>استخدام 2 نفر محافظ غرض حفاظت 10000 خریطه پلاستیکی از سال 1395</c:v>
                  </c:pt>
                  <c:pt idx="31">
                    <c:v>جالی با ملحفات آن برای تهیه سایه بان برای نوجست های جلغوزه </c:v>
                  </c:pt>
                  <c:pt idx="33">
                    <c:v>محصول</c:v>
                  </c:pt>
                  <c:pt idx="34">
                    <c:v>استخدام 1 نفر محافظ غرض حفاظت 10000 خریطه پلاستیکی از سال 1395</c:v>
                  </c:pt>
                  <c:pt idx="35">
                    <c:v>جالی با ملحفات آن برای تهیه سایه بان برای نوجست های جلغوزه </c:v>
                  </c:pt>
                  <c:pt idx="37">
                    <c:v>محصول</c:v>
                  </c:pt>
                  <c:pt idx="38">
                    <c:v>استخدام 1 نفر محافظ غرض حفاظت 10000 خریطه پلاستیکی از سال 1395</c:v>
                  </c:pt>
                  <c:pt idx="39">
                    <c:v>جالی با ملحفات آن برای تهیه سایه بان برای نوجست های جلغوزه </c:v>
                  </c:pt>
                  <c:pt idx="41">
                    <c:v>محصول</c:v>
                  </c:pt>
                  <c:pt idx="42">
                    <c:v>احیای و حفاظت 50 هکتار جلغوزه با بذر للمی به کمک 10 پروژه عایداتی.</c:v>
                  </c:pt>
                  <c:pt idx="43">
                    <c:v>خریداری تخم جلغوزه برای بذر مستقیم </c:v>
                  </c:pt>
                  <c:pt idx="44">
                    <c:v>تنظیم ابریزه ها با اعمار 200چکدم با مواد محلی در جای که خطر سیلاب متصور است.</c:v>
                  </c:pt>
                  <c:pt idx="45">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47">
                    <c:v>محصول</c:v>
                  </c:pt>
                  <c:pt idx="48">
                    <c:v>بذر للم و حفاظت ساحه 90 هکتار جنگلات طبیعی تخریب شده لمنز، نشتر، به کمک پروژه های عایداتی ( هر پروژه عایداتی برای 5 هکتار ساحه تخریب شده جدید و یک نفر محافظ) </c:v>
                  </c:pt>
                  <c:pt idx="49">
                    <c:v>خریداری تخم نشتر، لمنز، بلوط و اغور اسکی برای بذر للمی.</c:v>
                  </c:pt>
                  <c:pt idx="50">
                    <c:v>خریداری تخم چارمغز با کیفیت که قابلیت جوانه زدن را داشته باشد.</c:v>
                  </c:pt>
                  <c:pt idx="51">
                    <c:v>اعمار چکدم غرض حفاظت آب و خاک </c:v>
                  </c:pt>
                  <c:pt idx="5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54">
                    <c:v>محصول</c:v>
                  </c:pt>
                  <c:pt idx="55">
                    <c:v>احیای 20 هکتار بذر للمی بادام کوهی به کمک 4 پروژه عایداتی ( هر پروژه عایداتی برای یک نفر کارگر محافظ و 5 هکتار) </c:v>
                  </c:pt>
                  <c:pt idx="56">
                    <c:v>تهیه و خریداری تخم  بادام کوهی </c:v>
                  </c:pt>
                  <c:pt idx="5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59">
                    <c:v>محصول</c:v>
                  </c:pt>
                  <c:pt idx="60">
                    <c:v>احیای 30 هکتار بذر للمی بادام کوهی به کمک 6 پروژه عایداتی ( هر پروژه عایداتی برای یک نفر کارگر محافظ و 5 هکتار) </c:v>
                  </c:pt>
                  <c:pt idx="61">
                    <c:v>تهیه و خریداری تخم پسته.</c:v>
                  </c:pt>
                  <c:pt idx="6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64">
                    <c:v>محصول</c:v>
                  </c:pt>
                  <c:pt idx="65">
                    <c:v>استخدام 2 نفر متخصص در بخش ارتقای ظرفیت انجمن ها</c:v>
                  </c:pt>
                  <c:pt idx="66">
                    <c:v>سفریه و کرایه تیم فنی غرض سفر به ولایات غرض نظارت از امور پروژه ها.</c:v>
                  </c:pt>
                  <c:pt idx="70">
                    <c:v>فعالیت ها </c:v>
                  </c:pt>
                  <c:pt idx="72">
                    <c:v>شناسایی انجمن علفچر ونباتات طبی </c:v>
                  </c:pt>
                  <c:pt idx="73">
                    <c:v>تدویرورکشاپ اموزشهای تخنیکی وپلان سازی برای اعضای انجمن </c:v>
                  </c:pt>
                  <c:pt idx="74">
                    <c:v>احیایی علفچر طبیعی توسط قروغ ، تناوب چرا ، تنظیم حیوانات مواشی درساحه حصار شده 1396توسط انجمن </c:v>
                  </c:pt>
                  <c:pt idx="75">
                    <c:v>احیاء  علفچرتوسط بذر تخم علوفه </c:v>
                  </c:pt>
                  <c:pt idx="76">
                    <c:v>تهیه تخم علوفه برای موازی 60 هکتار فی هکتار 5 کیلوگرام </c:v>
                  </c:pt>
                  <c:pt idx="77">
                    <c:v>بذرپاشی و زیرخاک نمودن تخم علفوفه درساحات تخریب شده علفچر</c:v>
                  </c:pt>
                  <c:pt idx="78">
                    <c:v>احیاء نباتات طبی هنگ </c:v>
                  </c:pt>
                  <c:pt idx="79">
                    <c:v>حفر و اصلاح چاله ،نرم کاری خاک وبذرتخم هنگ </c:v>
                  </c:pt>
                  <c:pt idx="80">
                    <c:v>ابیاری توسط اب پاش </c:v>
                  </c:pt>
                  <c:pt idx="81">
                    <c:v>خریداری تخم هنگ </c:v>
                  </c:pt>
                  <c:pt idx="82">
                    <c:v>خریداری اب پاش </c:v>
                  </c:pt>
                  <c:pt idx="83">
                    <c:v>تهیه اب </c:v>
                  </c:pt>
                  <c:pt idx="84">
                    <c:v>مصارف اموزش انجمنها و نظارت از فعالیت های تطبیق شده پروژه </c:v>
                  </c:pt>
                  <c:pt idx="86">
                    <c:v>محصول</c:v>
                  </c:pt>
                  <c:pt idx="87">
                    <c:v>احیایی علفچر طبیعی توسط قروغ ، تناوب چرا ، تنظیم حیوانات مواشی درساحه حصار شده 1396توسط انجمن </c:v>
                  </c:pt>
                  <c:pt idx="88">
                    <c:v>استخدام کارمند فنی برای 9 ماه</c:v>
                  </c:pt>
                  <c:pt idx="89">
                    <c:v>استخدام  نگران برای 12ماه</c:v>
                  </c:pt>
                  <c:pt idx="90">
                    <c:v>تثبیت ریگ های روان </c:v>
                  </c:pt>
                  <c:pt idx="91">
                    <c:v>تهیه قلمه گز، تاغ وسکساول </c:v>
                  </c:pt>
                  <c:pt idx="92">
                    <c:v>غرس قلمه گز، تاغ وسکساول</c:v>
                  </c:pt>
                  <c:pt idx="93">
                    <c:v>کشیدن نهال ازمرکزارایه خدمات تنظیم علفچر</c:v>
                  </c:pt>
                  <c:pt idx="94">
                    <c:v>تهیه یکعراد ه زرنج برای انتقال قلمه و نهال ریشه گز، تاغ وسکساول درساحه </c:v>
                  </c:pt>
                  <c:pt idx="95">
                    <c:v>حفرچقرک برای غرس نهال ریشه </c:v>
                  </c:pt>
                  <c:pt idx="96">
                    <c:v>غرس نهال ریشه گز، تاغ وسکساول </c:v>
                  </c:pt>
                  <c:pt idx="97">
                    <c:v>تهیه آب برای آبیاری نهال بک مرتبه </c:v>
                  </c:pt>
                  <c:pt idx="98">
                    <c:v>آبیاری نهال های غرس شده یک مرتبه </c:v>
                  </c:pt>
                  <c:pt idx="99">
                    <c:v>آماده ساختن موازی 20 جریب زمین برای بذر تخم علوفه وغرس قلمه گز ، تاغ وسکساول درمرکزارایه خدمات تنظیم علفجر </c:v>
                  </c:pt>
                  <c:pt idx="100">
                    <c:v>تهیه تخم علوفه اگروپایرون</c:v>
                  </c:pt>
                  <c:pt idx="101">
                    <c:v>بذرتخم علوفه در قطار ( فاصله بین قطار 50 سانتی )</c:v>
                  </c:pt>
                  <c:pt idx="102">
                    <c:v>تهیه کود وسیاه وسفید </c:v>
                  </c:pt>
                  <c:pt idx="103">
                    <c:v>کارگر برای خیشاوه نمودن یک مراتبه </c:v>
                  </c:pt>
                  <c:pt idx="104">
                    <c:v>کارگر آبیاری و درو نمودن برای مدت 8 ماه </c:v>
                  </c:pt>
                  <c:pt idx="105">
                    <c:v>احیاء نباتات طبی هنگ </c:v>
                  </c:pt>
                  <c:pt idx="106">
                    <c:v>حفر و اصلاح چاله ،نرم کاری خاک وبذرتخم هنگ </c:v>
                  </c:pt>
                  <c:pt idx="107">
                    <c:v>ابیار توسط اب پاش </c:v>
                  </c:pt>
                  <c:pt idx="108">
                    <c:v>خریداری تخم هنگ </c:v>
                  </c:pt>
                  <c:pt idx="109">
                    <c:v>خریداری اب پاش </c:v>
                  </c:pt>
                  <c:pt idx="110">
                    <c:v>تهیه اب </c:v>
                  </c:pt>
                  <c:pt idx="111">
                    <c:v>تهیه روغنیات برای زرنج و واترپمپ</c:v>
                  </c:pt>
                  <c:pt idx="112">
                    <c:v>مصارف اموزش انجمنها و نظارت از فعالیت های تطبیق شده پروژه </c:v>
                  </c:pt>
                  <c:pt idx="114">
                    <c:v>محصول</c:v>
                  </c:pt>
                  <c:pt idx="115">
                    <c:v>شناسایی انجمن علفچر ونباتات طبی </c:v>
                  </c:pt>
                  <c:pt idx="116">
                    <c:v>تدویرورکشاپ اموزشهای تخنیکی وپلان سازی برای اعضای انجمن </c:v>
                  </c:pt>
                  <c:pt idx="117">
                    <c:v>احیایی علفچر طبیعی توسط قروغ ، تناوب چرا ، تنظیم حیوانات مواشی درساحه حصار شده 1396توسط انجمن </c:v>
                  </c:pt>
                  <c:pt idx="118">
                    <c:v>احیاء علفچراز طریق بذر تخم رشقه للمی </c:v>
                  </c:pt>
                  <c:pt idx="119">
                    <c:v>تهیه تخم رشقه للمی </c:v>
                  </c:pt>
                  <c:pt idx="120">
                    <c:v>بذرتخم رشقه للمی وزیر خاک نمودن </c:v>
                  </c:pt>
                  <c:pt idx="121">
                    <c:v>احیاء نباتات طبی هنگ </c:v>
                  </c:pt>
                  <c:pt idx="122">
                    <c:v>حفرواصلاح چاله ،نرم کاری خاک وبذرتخم هنگ </c:v>
                  </c:pt>
                  <c:pt idx="123">
                    <c:v>ابیاری توسط اب پاش </c:v>
                  </c:pt>
                  <c:pt idx="124">
                    <c:v>خریداری تخم هنگ </c:v>
                  </c:pt>
                  <c:pt idx="125">
                    <c:v>خریداری اب پاش </c:v>
                  </c:pt>
                  <c:pt idx="126">
                    <c:v>تهیه اب </c:v>
                  </c:pt>
                  <c:pt idx="127">
                    <c:v>مصارف اموزش انجمنها و نظارت از فعالیت های تطبیق شده پروژه </c:v>
                  </c:pt>
                  <c:pt idx="129">
                    <c:v>محصول</c:v>
                  </c:pt>
                  <c:pt idx="130">
                    <c:v>استخدام  نگران برای 12 ماه</c:v>
                  </c:pt>
                  <c:pt idx="131">
                    <c:v>تثبیت ریگ های روان </c:v>
                  </c:pt>
                  <c:pt idx="132">
                    <c:v>تهیه قلمه گز، تاغ وسکساول </c:v>
                  </c:pt>
                  <c:pt idx="133">
                    <c:v>غرس قلمه گز، تاغ وسکساول</c:v>
                  </c:pt>
                  <c:pt idx="134">
                    <c:v>کشیدن نهال ازمرکزارایه خدمات تنظیم علفچر</c:v>
                  </c:pt>
                  <c:pt idx="135">
                    <c:v>تهیه یکعراد ه زرنج برای انتقال قلمه و نهال ریشه گز، تاغ وسکساول درساحه </c:v>
                  </c:pt>
                  <c:pt idx="136">
                    <c:v>حفرچقرک برای غرس نهال ریشه </c:v>
                  </c:pt>
                  <c:pt idx="137">
                    <c:v>غرس نهال ریشه گز، تاغ وسکساول </c:v>
                  </c:pt>
                  <c:pt idx="138">
                    <c:v>تهیه آب برای آبیاری نهال بک مرتبه </c:v>
                  </c:pt>
                  <c:pt idx="139">
                    <c:v>آبیاری نهال های غرس شده یک مرتبه </c:v>
                  </c:pt>
                  <c:pt idx="140">
                    <c:v>آماده ساختن زمین برای بذر تخم علوفه وغرس قلمه گز</c:v>
                  </c:pt>
                  <c:pt idx="141">
                    <c:v>تهیه تخم علوفه اگروپایرون</c:v>
                  </c:pt>
                  <c:pt idx="142">
                    <c:v>بذرتخم علوفه در قطار ( فاصله بین قطار 50 سانتی )</c:v>
                  </c:pt>
                  <c:pt idx="143">
                    <c:v>تهیه کود وسیاه وسفید </c:v>
                  </c:pt>
                  <c:pt idx="144">
                    <c:v>کارگر برای خیشاوه نمودن برای یک مراتبه</c:v>
                  </c:pt>
                  <c:pt idx="145">
                    <c:v>کارگر آبیاری و درو نمودن برای مدت 8 ماه </c:v>
                  </c:pt>
                  <c:pt idx="146">
                    <c:v>احیاء نباتات طبی شیرین بویه</c:v>
                  </c:pt>
                  <c:pt idx="147">
                    <c:v>حفرواصلاح چاله ،نرم کاری خاک وغرس قلمه شیرین بویه </c:v>
                  </c:pt>
                  <c:pt idx="148">
                    <c:v>تهیه قلمه ریشه شیرین بویه ، توسط کارگران محلی </c:v>
                  </c:pt>
                  <c:pt idx="149">
                    <c:v>ابیاری توسط اب پاش </c:v>
                  </c:pt>
                  <c:pt idx="150">
                    <c:v>خریداری قیجی شاخه بری فیلکو</c:v>
                  </c:pt>
                  <c:pt idx="151">
                    <c:v>خریداری اب پاش </c:v>
                  </c:pt>
                  <c:pt idx="152">
                    <c:v>تهیه اب </c:v>
                  </c:pt>
                  <c:pt idx="153">
                    <c:v>کرایه انتقال قلمه ریشه شرین بویه </c:v>
                  </c:pt>
                  <c:pt idx="154">
                    <c:v>خریداری روغنیات زرنج  </c:v>
                  </c:pt>
                  <c:pt idx="155">
                    <c:v>مصارف اموزش انجمنها و نظارت از فعالیت های تطبیق شده پروژه </c:v>
                  </c:pt>
                  <c:pt idx="157">
                    <c:v>محصول</c:v>
                  </c:pt>
                  <c:pt idx="158">
                    <c:v>شناسایی انجمن علفچر ونباتات طبی </c:v>
                  </c:pt>
                  <c:pt idx="159">
                    <c:v>تدویرورکشاپ اموزشهای تخنیکی وپلان سازی برای اعضای انجمن </c:v>
                  </c:pt>
                  <c:pt idx="160">
                    <c:v>احیایی علفچر طبیعی توسط قروغ ، تناوب چرا ، تنظیم حیوانات مواشی درساحه حصار شده 1396توسط انجمن </c:v>
                  </c:pt>
                  <c:pt idx="161">
                    <c:v>احیاء علفچراز طریق بذر تخم رشقه للمی </c:v>
                  </c:pt>
                  <c:pt idx="162">
                    <c:v>تهیه تخم رشقه للمی </c:v>
                  </c:pt>
                  <c:pt idx="163">
                    <c:v>بذرتخم رشقه للمی </c:v>
                  </c:pt>
                  <c:pt idx="164">
                    <c:v>احیاء نباتات طبی هنگ </c:v>
                  </c:pt>
                  <c:pt idx="165">
                    <c:v>حفرواصلاح چاله ،نرم کاری خاک وبذرتخم هنگ </c:v>
                  </c:pt>
                  <c:pt idx="166">
                    <c:v>ابیاری توسط اب پاش </c:v>
                  </c:pt>
                  <c:pt idx="167">
                    <c:v>خریداری تخم هنگ </c:v>
                  </c:pt>
                  <c:pt idx="168">
                    <c:v>خریداری اب پاش </c:v>
                  </c:pt>
                  <c:pt idx="169">
                    <c:v>تهیه اب </c:v>
                  </c:pt>
                  <c:pt idx="170">
                    <c:v>مصارف اموزش انجمنها و نظارت از فعالیت های تطبیق شده پروژه </c:v>
                  </c:pt>
                  <c:pt idx="172">
                    <c:v>محصول</c:v>
                  </c:pt>
                  <c:pt idx="173">
                    <c:v>احیایی علفچر طبیعی توسط قروغ ، تناوب چرا ، تنظیم حیوانات مواشی درساحه حصار شده 1396توسط انجمن </c:v>
                  </c:pt>
                  <c:pt idx="174">
                    <c:v>استخدام کارمند فنی برای 9 ماه</c:v>
                  </c:pt>
                  <c:pt idx="175">
                    <c:v>استخدام  نگران برای 12 ماه</c:v>
                  </c:pt>
                  <c:pt idx="176">
                    <c:v>کارگر برای خیشاوه نمودن برای 1 مراتبه</c:v>
                  </c:pt>
                  <c:pt idx="177">
                    <c:v>کارگر آبیاری و درو نمودن برای مدت 8 ماه </c:v>
                  </c:pt>
                  <c:pt idx="178">
                    <c:v>مصارف اموزش انجمنها و نظارت از فعالیت های تطبیق شده پروژه </c:v>
                  </c:pt>
                  <c:pt idx="180">
                    <c:v>محصول</c:v>
                  </c:pt>
                  <c:pt idx="181">
                    <c:v>احیایی علفچر طبیعی توسط قروغ ، تناوب چرا ، تنظیم حیوانات مواشی درساحه حصار شده 1396توسط انجمن </c:v>
                  </c:pt>
                  <c:pt idx="182">
                    <c:v>استخدام  نگران برای 12ماه</c:v>
                  </c:pt>
                  <c:pt idx="183">
                    <c:v>کارگر آبیاری و درو نمودن برای مدت 8 ماه </c:v>
                  </c:pt>
                  <c:pt idx="184">
                    <c:v>کارگر برای خیشاوه نمودن برای یک  مراتبه</c:v>
                  </c:pt>
                  <c:pt idx="185">
                    <c:v>مصارف اموزش انجمنها و نظارت از فعالیت های تطبیق شده پروژه </c:v>
                  </c:pt>
                  <c:pt idx="187">
                    <c:v>محصول</c:v>
                  </c:pt>
                  <c:pt idx="188">
                    <c:v>استخدام کارمند فنی برای 9 ماه</c:v>
                  </c:pt>
                  <c:pt idx="189">
                    <c:v>استخدام  نگران برای 12ماه</c:v>
                  </c:pt>
                  <c:pt idx="190">
                    <c:v>شناسایی انجمن علفچر ونباتات طبی </c:v>
                  </c:pt>
                  <c:pt idx="191">
                    <c:v>تدویرورکشاپ اموزشهای تخنیکی وپلان سازی برای اعضای انجمن </c:v>
                  </c:pt>
                  <c:pt idx="192">
                    <c:v>تثبیت ریگ های روان </c:v>
                  </c:pt>
                  <c:pt idx="193">
                    <c:v>تهیه قلمه گز، تاغ وسکساول </c:v>
                  </c:pt>
                  <c:pt idx="194">
                    <c:v>غرس قلمه گز، تاغ وسکساول</c:v>
                  </c:pt>
                  <c:pt idx="195">
                    <c:v>کشیدن نهال ازمرکزارایه خدمات تنظیم علفچر</c:v>
                  </c:pt>
                  <c:pt idx="196">
                    <c:v>تهیه یکعراد ه زرنج برای انتقال قلمه و نهال ریشه گز، تاغ وسکساول درساحه </c:v>
                  </c:pt>
                  <c:pt idx="197">
                    <c:v>حفرچقرک برای غرس نهال ریشه </c:v>
                  </c:pt>
                  <c:pt idx="198">
                    <c:v>غرس نهال ریشه گز، تاغ وسکساول </c:v>
                  </c:pt>
                  <c:pt idx="199">
                    <c:v>تهیه آب برای آبیاری نهال یک مرتبه </c:v>
                  </c:pt>
                  <c:pt idx="200">
                    <c:v>آبیاری نهال های غرس شده یک مرتبه </c:v>
                  </c:pt>
                  <c:pt idx="201">
                    <c:v>آماده ساختن زمین برای بذر تخم علوفه وغرس قلمه گز</c:v>
                  </c:pt>
                  <c:pt idx="202">
                    <c:v>تهیه تخم علوفه اگروپایرون</c:v>
                  </c:pt>
                  <c:pt idx="203">
                    <c:v>بذرتخم علوفه در قطار ( فاصله بین قطار 50 سانتی )</c:v>
                  </c:pt>
                  <c:pt idx="204">
                    <c:v>تهیه کود وسیاه وسفید </c:v>
                  </c:pt>
                  <c:pt idx="205">
                    <c:v>کارگر برای خیشاوه نمودن برای 1  مراتبه</c:v>
                  </c:pt>
                  <c:pt idx="206">
                    <c:v>کارگر آبیاری و درو نمودن برای مدت 8 ماه </c:v>
                  </c:pt>
                  <c:pt idx="207">
                    <c:v>احیا وحفاظت نبات طبی هنگ</c:v>
                  </c:pt>
                  <c:pt idx="208">
                    <c:v>حفرو اصلاح چاله ، نرم کاری خاک ، وبذرتخم هنگ </c:v>
                  </c:pt>
                  <c:pt idx="209">
                    <c:v>تهیه اب </c:v>
                  </c:pt>
                  <c:pt idx="210">
                    <c:v>ابیاری توسط ابپاش</c:v>
                  </c:pt>
                  <c:pt idx="211">
                    <c:v>خریداری تخم هنگ </c:v>
                  </c:pt>
                  <c:pt idx="212">
                    <c:v>خریداری اب پاش </c:v>
                  </c:pt>
                  <c:pt idx="213">
                    <c:v>روغنیات زرنج </c:v>
                  </c:pt>
                  <c:pt idx="214">
                    <c:v>مصارف اموزش انجمنها و نظارت از فعالیت های تطبیق شده پروژه </c:v>
                  </c:pt>
                  <c:pt idx="216">
                    <c:v>محصول</c:v>
                  </c:pt>
                  <c:pt idx="217">
                    <c:v>استخدام  نگران برای 12ماه</c:v>
                  </c:pt>
                  <c:pt idx="218">
                    <c:v>احیایی علفچر طبیعی توسط قروغ ، تناوب چرا ، تنظیم حیوانات مواشی درساحه حصار شده 1396توسط انجمن </c:v>
                  </c:pt>
                  <c:pt idx="219">
                    <c:v>تثبیت ریگ های روان </c:v>
                  </c:pt>
                  <c:pt idx="220">
                    <c:v>تهیه قلمه گز، تاغ وسکساول </c:v>
                  </c:pt>
                  <c:pt idx="221">
                    <c:v>غرس قلمه گز، تاغ وسکساول</c:v>
                  </c:pt>
                  <c:pt idx="222">
                    <c:v>کشیدن نهال ازمرکزارایه خدمات تنظیم علفچر</c:v>
                  </c:pt>
                  <c:pt idx="223">
                    <c:v>تهیه یکعراد ه زرنج برای انتقال قلمه و نهال ریشه گز، تاغ وسکساول درساحه </c:v>
                  </c:pt>
                  <c:pt idx="224">
                    <c:v>حفرچقرک برای غرس نهال ریشه </c:v>
                  </c:pt>
                  <c:pt idx="225">
                    <c:v>غرس نهال ریشه گز، تاغ وسکساول </c:v>
                  </c:pt>
                  <c:pt idx="226">
                    <c:v>تهیه آب برای آبیاری نهال یک مرتبه </c:v>
                  </c:pt>
                  <c:pt idx="227">
                    <c:v>آبیاری نهال های غرس شده یک مرتبه </c:v>
                  </c:pt>
                  <c:pt idx="228">
                    <c:v>آماده ساختن زمین مراکز تکثیری برای بذر تخم علوفه وغرس قلمه</c:v>
                  </c:pt>
                  <c:pt idx="229">
                    <c:v>تهیه تخم علوفه اگروپایرون</c:v>
                  </c:pt>
                  <c:pt idx="230">
                    <c:v>بذرتخم علوفه در قطار درساحه 2 هکتارمرکزارایه خدمات تنظیم علفچر </c:v>
                  </c:pt>
                  <c:pt idx="231">
                    <c:v>تهیه کود وسیاه وسفید </c:v>
                  </c:pt>
                  <c:pt idx="232">
                    <c:v>کارگر برای خیشاوه نمودن برای 1 مراتبه</c:v>
                  </c:pt>
                  <c:pt idx="233">
                    <c:v>کارگر آبیاری و درو نمودن برای مدت 8 ماه </c:v>
                  </c:pt>
                  <c:pt idx="234">
                    <c:v>تهیه روغنیات برای زرنج</c:v>
                  </c:pt>
                  <c:pt idx="235">
                    <c:v>مصارف اموزش انجمنها و نظارت از فعالیت های تطبیق شده پروژه </c:v>
                  </c:pt>
                  <c:pt idx="237">
                    <c:v>محصول</c:v>
                  </c:pt>
                  <c:pt idx="238">
                    <c:v>شناسایی انجمن علفچر ونباتات طبی </c:v>
                  </c:pt>
                  <c:pt idx="239">
                    <c:v>تدویرورکشاپ اموزشهای تخنیکی وپلان سازی برای اعضای انجمن </c:v>
                  </c:pt>
                  <c:pt idx="240">
                    <c:v>احیاء موازی 100 هکتار علفچرتوسط بذر تخم علوفه </c:v>
                  </c:pt>
                  <c:pt idx="241">
                    <c:v>تهیه تخم علوفه برای موازی 100 هکتار فی هکتار 5 کیلوگرام </c:v>
                  </c:pt>
                  <c:pt idx="242">
                    <c:v>بذرپاشی و زیرخاک نمودن تخم علفوفه درساحات تخریب شده علفچر</c:v>
                  </c:pt>
                  <c:pt idx="243">
                    <c:v>مصارف اموزش انجمنها و نظارت از فعالیت های تطبیق شده پروژه </c:v>
                  </c:pt>
                  <c:pt idx="245">
                    <c:v>محصول</c:v>
                  </c:pt>
                  <c:pt idx="246">
                    <c:v>شناسایی انجمن علفچر ونباتات طبی </c:v>
                  </c:pt>
                  <c:pt idx="247">
                    <c:v>تدویرورکشاپ اموزشهای تخنیکی وپلان سازی برای اعضای انجمن </c:v>
                  </c:pt>
                  <c:pt idx="248">
                    <c:v>احیاء موازی 100 هکتار علفچرتوسط بذر تخم علوفه </c:v>
                  </c:pt>
                  <c:pt idx="249">
                    <c:v>تهیه تخم علوفه فی هکتار 5 کیلوگرام </c:v>
                  </c:pt>
                  <c:pt idx="250">
                    <c:v>بذرپاشی و زیرخاک نمودن تخم علفوفه درساحات تخریب شده علفچر</c:v>
                  </c:pt>
                  <c:pt idx="251">
                    <c:v>مصارف اموزش انجمنها و نظارت از فعالیت های تطبیق شده پروژه </c:v>
                  </c:pt>
                  <c:pt idx="253">
                    <c:v>محصول</c:v>
                  </c:pt>
                  <c:pt idx="254">
                    <c:v>شناسایی انجمن علفچر ونباتات طبی </c:v>
                  </c:pt>
                  <c:pt idx="255">
                    <c:v>تدویرورکشاپ اموزشهای تخنیکی وپلان سازی برای اعضای انجمن </c:v>
                  </c:pt>
                  <c:pt idx="256">
                    <c:v>احیاء موازی 100 هکتار علفچرتوسط بذر تخم علوفه </c:v>
                  </c:pt>
                  <c:pt idx="257">
                    <c:v>تهیه تخم علوفه برای موازی 100 هکتار فی هکتار 5 کیلوگرام </c:v>
                  </c:pt>
                  <c:pt idx="258">
                    <c:v>بذرپاشی و زیرخاک نمودن تخم علفوفه درساحات تخریب شده علفچر</c:v>
                  </c:pt>
                  <c:pt idx="259">
                    <c:v>مصارف اموزش انجمنها و نظارت از فعالیت های تطبیق شده پروژه </c:v>
                  </c:pt>
                  <c:pt idx="261">
                    <c:v>محصول</c:v>
                  </c:pt>
                  <c:pt idx="262">
                    <c:v>شناسایی انجمن علفچر ونباتات طبی </c:v>
                  </c:pt>
                  <c:pt idx="263">
                    <c:v>تدویرورکشاپ اموزشهای تخنیکی وپلان سازی برای اعضای انجمن </c:v>
                  </c:pt>
                  <c:pt idx="264">
                    <c:v>احیاء موازی 100 هکتار علفچرتوسط بذر تخم رشقه للمی </c:v>
                  </c:pt>
                  <c:pt idx="265">
                    <c:v>تهیه تخم رشقه برای موازی 100 هکتار </c:v>
                  </c:pt>
                  <c:pt idx="266">
                    <c:v>بذرپاشی و زیرخاک نمودن تخم رشقه للمی درساحات تخریب شده علفچر</c:v>
                  </c:pt>
                  <c:pt idx="267">
                    <c:v>مصارف اموزش انجمنها و نظارت از فعالیت های تطبیق شده پروژه </c:v>
                  </c:pt>
                  <c:pt idx="269">
                    <c:v>محصول</c:v>
                  </c:pt>
                  <c:pt idx="270">
                    <c:v>شناسایی انجمن علفچر ونباتات طبی </c:v>
                  </c:pt>
                  <c:pt idx="271">
                    <c:v>تدویرورکشاپ اموزشهای تخنیکی وپلان سازی برای اعضای انجمن </c:v>
                  </c:pt>
                  <c:pt idx="272">
                    <c:v>احیاء موازی 100 هکتار علفچرتوسط بذر تخم رشقه للمی </c:v>
                  </c:pt>
                  <c:pt idx="273">
                    <c:v>تهیه تخم علوفه برای موازی 100 هکتار </c:v>
                  </c:pt>
                  <c:pt idx="274">
                    <c:v>بذرپاشی و زیرخاک نمودن تخم رشقه للمی درساحات تخریب شده علفچر</c:v>
                  </c:pt>
                  <c:pt idx="275">
                    <c:v>احیاء نبات طبی هنگ </c:v>
                  </c:pt>
                  <c:pt idx="276">
                    <c:v>حفرواصلاح چاله ،نرم کاری خاک وبذرتخم هنگ </c:v>
                  </c:pt>
                  <c:pt idx="277">
                    <c:v>ابیاری توسط اب پاش </c:v>
                  </c:pt>
                  <c:pt idx="278">
                    <c:v>خریداری تخم هنگ </c:v>
                  </c:pt>
                  <c:pt idx="279">
                    <c:v>خریداری اب پاش </c:v>
                  </c:pt>
                  <c:pt idx="280">
                    <c:v>تهیه اب </c:v>
                  </c:pt>
                  <c:pt idx="281">
                    <c:v>مصارف اموزش انجمنها و نظارت از فعالیت های تطبیق شده پروژه </c:v>
                  </c:pt>
                  <c:pt idx="283">
                    <c:v>محصول</c:v>
                  </c:pt>
                  <c:pt idx="284">
                    <c:v>شناسایی انجمن علفچر ونباتات طبی </c:v>
                  </c:pt>
                  <c:pt idx="285">
                    <c:v>تدویرورکشاپ اموزشهای تخنیکی وپلان سازی برای اعضای انجمن </c:v>
                  </c:pt>
                  <c:pt idx="286">
                    <c:v>احیاء موازی 100 هکتار علفچرتوسط بذر تخم علوفه </c:v>
                  </c:pt>
                  <c:pt idx="287">
                    <c:v>تهیه تخم علوفه برای موازی 100 هکتار فی هکتار 5 کیلوگرام </c:v>
                  </c:pt>
                  <c:pt idx="288">
                    <c:v>بذرپاشی و زیرخاک نمودن تخم رشقه للمی درساحات تخریب شده علفچر</c:v>
                  </c:pt>
                  <c:pt idx="289">
                    <c:v>احیاء نباتات طبی هنگ </c:v>
                  </c:pt>
                  <c:pt idx="290">
                    <c:v>حفرواصلاح چاله ،نرم کاری خاک وبذرتخم هنگ </c:v>
                  </c:pt>
                  <c:pt idx="291">
                    <c:v>ابیاری توسط اب پاش </c:v>
                  </c:pt>
                  <c:pt idx="292">
                    <c:v>خریداری تخم هنگ </c:v>
                  </c:pt>
                  <c:pt idx="293">
                    <c:v>خریداری اب پاش </c:v>
                  </c:pt>
                  <c:pt idx="294">
                    <c:v>تهیه اب </c:v>
                  </c:pt>
                  <c:pt idx="295">
                    <c:v>مصارف اموزش انجمنها و نظارت از فعالیت های تطبیق شده پروژه </c:v>
                  </c:pt>
                  <c:pt idx="297">
                    <c:v>استخدام یک نفر متخصص علفچرها</c:v>
                  </c:pt>
                  <c:pt idx="298">
                    <c:v>تمدید قرارداد یک نفر متخصص نباتات طبی</c:v>
                  </c:pt>
                  <c:pt idx="302">
                    <c:v>محصول</c:v>
                  </c:pt>
                  <c:pt idx="303">
                    <c:v>آماده ساختن وپلات بندی یک  جریب زمین </c:v>
                  </c:pt>
                  <c:pt idx="304">
                    <c:v>خیشاوه کتمن کاری (3) جریب زمین برای 3 مرتبه </c:v>
                  </c:pt>
                  <c:pt idx="305">
                    <c:v>پاککاری جوی ها بطول (287) متر</c:v>
                  </c:pt>
                  <c:pt idx="306">
                    <c:v>تهیه(20) مترمکعب کمپوست </c:v>
                  </c:pt>
                  <c:pt idx="307">
                    <c:v>تراسپلانت (10000) اصله نهال </c:v>
                  </c:pt>
                  <c:pt idx="308">
                    <c:v>بذرساحه یک جریب زمین درساحه آذاد</c:v>
                  </c:pt>
                  <c:pt idx="309">
                    <c:v>مواد ،تجهیزات ،وسایل کاروروغنیات </c:v>
                  </c:pt>
                  <c:pt idx="311">
                    <c:v>آماده ساختن وپلات بندی 5 جریب زمین </c:v>
                  </c:pt>
                  <c:pt idx="312">
                    <c:v>خیشاوه کتمن کاری (3) جریب زمین برای 3 مرتبه </c:v>
                  </c:pt>
                  <c:pt idx="313">
                    <c:v>پاککاری جوی ها بطول (250) متر</c:v>
                  </c:pt>
                  <c:pt idx="314">
                    <c:v>تهیه(11) مترمکعب کمپوست </c:v>
                  </c:pt>
                  <c:pt idx="315">
                    <c:v>تراسپلانت (10000) اصله نهال </c:v>
                  </c:pt>
                  <c:pt idx="316">
                    <c:v>بذرساحه یک جریب زمین درساحه آذاد</c:v>
                  </c:pt>
                  <c:pt idx="317">
                    <c:v>مواد ،تجهیزات ،وسایل کاروروغنیات </c:v>
                  </c:pt>
                  <c:pt idx="319">
                    <c:v>آماده ساختن وپلات بندی 5 جریب زمین </c:v>
                  </c:pt>
                  <c:pt idx="320">
                    <c:v>بذرساحه یک جریب زمین درساحه آذاد</c:v>
                  </c:pt>
                  <c:pt idx="321">
                    <c:v>خیشاوه کتمن کاری (3) جریب زمین برای 3 مرتبه </c:v>
                  </c:pt>
                  <c:pt idx="322">
                    <c:v>پاککاری جوی ها بطول (500) متر</c:v>
                  </c:pt>
                  <c:pt idx="323">
                    <c:v>تهیه(20) مترمکعب کمپوست </c:v>
                  </c:pt>
                  <c:pt idx="324">
                    <c:v>تراسپلانت (10000) اصله نهال </c:v>
                  </c:pt>
                  <c:pt idx="325">
                    <c:v>مواد ،تجهیزات ،وسایل کاروروغنیات </c:v>
                  </c:pt>
                  <c:pt idx="327">
                    <c:v>آماده ساختن وپلات بندی 30 جریب زمین </c:v>
                  </c:pt>
                  <c:pt idx="328">
                    <c:v>احداث سرک های فرعی فارم </c:v>
                  </c:pt>
                  <c:pt idx="329">
                    <c:v>احداث جوی های  جدید بطول (500) متر</c:v>
                  </c:pt>
                  <c:pt idx="330">
                    <c:v>بذرساحه دو جریب زمین درساحه آذاد</c:v>
                  </c:pt>
                  <c:pt idx="331">
                    <c:v>مواد ،تجهیزات ،وسایل کاروروغنیات </c:v>
                  </c:pt>
                  <c:pt idx="332">
                    <c:v>اعماردیوار احاطه ، تعمیر ، چاه عمیق وفعالیت های تخنیکی قرارداد شده 1396</c:v>
                  </c:pt>
                  <c:pt idx="334">
                    <c:v>اماده ساختن وپلات بندی (4 )جریب زمین </c:v>
                  </c:pt>
                  <c:pt idx="335">
                    <c:v>بذرساحه یک جریب زمین درساحه آذاد</c:v>
                  </c:pt>
                  <c:pt idx="336">
                    <c:v>خیشاوه کتمن کاری (3) جریب زمین برای 3 مرتبه </c:v>
                  </c:pt>
                  <c:pt idx="337">
                    <c:v>پاککاری جوی ها بطول (250) متر</c:v>
                  </c:pt>
                  <c:pt idx="338">
                    <c:v>تهیه(12) مترمکعب کمپوست </c:v>
                  </c:pt>
                  <c:pt idx="339">
                    <c:v>مواد ،تجهیزات ،وسایل کاروروغنیات </c:v>
                  </c:pt>
                  <c:pt idx="340">
                    <c:v>ترمیم ذخیره آب  وشبکه آبیاری قوریه  فارم مره لاق </c:v>
                  </c:pt>
                  <c:pt idx="342">
                    <c:v>اماده ساختن وپلات بندی (4 )جریب زمین </c:v>
                  </c:pt>
                  <c:pt idx="343">
                    <c:v>خیشاوه کتمن کاری (5) جریب زمین برای 3 مرتبه </c:v>
                  </c:pt>
                  <c:pt idx="344">
                    <c:v>پاککاری جوی ها بطول (250) متر</c:v>
                  </c:pt>
                  <c:pt idx="345">
                    <c:v>تهیه(12) مترمکعب کمپوست </c:v>
                  </c:pt>
                  <c:pt idx="346">
                    <c:v>مواد ،تجهیزات ،وسایل کاروروغنیات </c:v>
                  </c:pt>
                  <c:pt idx="348">
                    <c:v>اماده سا ختن 20جریب زمین </c:v>
                  </c:pt>
                  <c:pt idx="349">
                    <c:v>بذرساحه دو جریب زمین درساحه آذاد</c:v>
                  </c:pt>
                  <c:pt idx="350">
                    <c:v>پرکاری (20000) خریطه پلاستیکی وبذرآن</c:v>
                  </c:pt>
                  <c:pt idx="351">
                    <c:v>خیشاوه کتمن کاری 7جریب زمین برای3 مرتبه </c:v>
                  </c:pt>
                  <c:pt idx="352">
                    <c:v>پاککاری جوی ها بطول (300) متر</c:v>
                  </c:pt>
                  <c:pt idx="353">
                    <c:v>تهیه(20) مترمکعب کمپوست </c:v>
                  </c:pt>
                  <c:pt idx="354">
                    <c:v>تراسپلانت (15000) اصله نهال </c:v>
                  </c:pt>
                  <c:pt idx="355">
                    <c:v>مواد ،تجهیزات ،وسایل کاروروغنیات </c:v>
                  </c:pt>
                  <c:pt idx="357">
                    <c:v>آماده ساختن وپلات بندی 3 جریب زمین </c:v>
                  </c:pt>
                  <c:pt idx="358">
                    <c:v>خیشاوه کتمن کاری (2) جریب زمین برای 3 مرتبه </c:v>
                  </c:pt>
                  <c:pt idx="359">
                    <c:v>پاککاری جوی ها بطول (300) متر</c:v>
                  </c:pt>
                  <c:pt idx="360">
                    <c:v>تهیه(15) مترمکعب کمپوست </c:v>
                  </c:pt>
                  <c:pt idx="361">
                    <c:v>بذرساحه یک جریب زمین درساحه آذاد</c:v>
                  </c:pt>
                  <c:pt idx="362">
                    <c:v>اعمار سیتم آبیاری فارم تاشلی گذر </c:v>
                  </c:pt>
                  <c:pt idx="363">
                    <c:v>مواد ،تجهیزات ،وسایل کاروروغنیات </c:v>
                  </c:pt>
                  <c:pt idx="365">
                    <c:v>آماده ساختن وپلات بندی 5 جریب زمین </c:v>
                  </c:pt>
                  <c:pt idx="366">
                    <c:v>بذرساحه یک جریب زمین درساحه آذاد</c:v>
                  </c:pt>
                  <c:pt idx="367">
                    <c:v>خیشاوه کتمن کاری (6) جریب زمین برای 3 مرتبه </c:v>
                  </c:pt>
                  <c:pt idx="368">
                    <c:v>پاککاری جوی ها بطول (300) متر</c:v>
                  </c:pt>
                  <c:pt idx="369">
                    <c:v>تهیه(15) مترمکعب کمپوست </c:v>
                  </c:pt>
                  <c:pt idx="370">
                    <c:v>تراسپلانت (20000) اصله نهال </c:v>
                  </c:pt>
                  <c:pt idx="371">
                    <c:v>مواد ،تجهیزات ،وسایل کاروروغنیات </c:v>
                  </c:pt>
                  <c:pt idx="373">
                    <c:v>اماده ساختن وپلات بندی (6 )جریب زمین </c:v>
                  </c:pt>
                  <c:pt idx="374">
                    <c:v>بذرساحه یک جریب زمین درساحه آذاد</c:v>
                  </c:pt>
                  <c:pt idx="375">
                    <c:v>پرکاری (20000) خریطه پلاستیکی وبذرآن</c:v>
                  </c:pt>
                  <c:pt idx="376">
                    <c:v>خیشاوه کتمن کاری (5) جریب زمین برای 3 مرتبه </c:v>
                  </c:pt>
                  <c:pt idx="377">
                    <c:v>پاککاری جوی ها بطول (300) متر</c:v>
                  </c:pt>
                  <c:pt idx="378">
                    <c:v>تهیه(12) مترمکعب کمپوست </c:v>
                  </c:pt>
                  <c:pt idx="379">
                    <c:v>تراسپلانت (20000) اصله نهال </c:v>
                  </c:pt>
                  <c:pt idx="380">
                    <c:v>مواد ،تجهیزات ،وسایل کاروروغنیات </c:v>
                  </c:pt>
                  <c:pt idx="382">
                    <c:v>اماده ساختن وپلات بندی (5)جریب زمین </c:v>
                  </c:pt>
                  <c:pt idx="383">
                    <c:v>بذرساحه یک جریب زمین درساحه آذاد</c:v>
                  </c:pt>
                  <c:pt idx="384">
                    <c:v>خیشاوه کتمن کاری (6) جریب زمین برای 3 مرتبه </c:v>
                  </c:pt>
                  <c:pt idx="385">
                    <c:v>پاککاری جوی ها بطول (300) متر</c:v>
                  </c:pt>
                  <c:pt idx="386">
                    <c:v>تهیه(20) مترمکعب کمپوست </c:v>
                  </c:pt>
                  <c:pt idx="387">
                    <c:v>تراسپلانت (10000) اصله نهال </c:v>
                  </c:pt>
                  <c:pt idx="388">
                    <c:v>مواد ،تجهیزات ،وسایل کاروروغنیات </c:v>
                  </c:pt>
                  <c:pt idx="390">
                    <c:v>اماده سا ختن10جریب زمین </c:v>
                  </c:pt>
                  <c:pt idx="391">
                    <c:v>بذرساحه یک جریب زمین درساحه آذاد</c:v>
                  </c:pt>
                  <c:pt idx="392">
                    <c:v>خیشاوه کتمن کاری (6) جریب زمین برای 3 مرتبه </c:v>
                  </c:pt>
                  <c:pt idx="393">
                    <c:v>پاککاری جوی ها بطول (250) متر</c:v>
                  </c:pt>
                  <c:pt idx="394">
                    <c:v>تهیه(25) مترمکعب کمپوست </c:v>
                  </c:pt>
                  <c:pt idx="395">
                    <c:v>حفریک حلقه چاه عمیق ونصب سولر</c:v>
                  </c:pt>
                  <c:pt idx="396">
                    <c:v>مواد ،تجهیزات ،وسایل کاروروغنیات </c:v>
                  </c:pt>
                  <c:pt idx="398">
                    <c:v>آماده ساختن وپلات بندی 6 جریب زمین </c:v>
                  </c:pt>
                  <c:pt idx="399">
                    <c:v>بذرساحه یک جریب زمین درساحه آذاد</c:v>
                  </c:pt>
                  <c:pt idx="400">
                    <c:v>خیشاوه کتمن کاری (6) جریب زمین برای 3 مرتبه </c:v>
                  </c:pt>
                  <c:pt idx="401">
                    <c:v>پرکاری (19000) خریطه پلاستیکی وبذرآن</c:v>
                  </c:pt>
                  <c:pt idx="402">
                    <c:v>پاککاری جوی ها بطول (300) متر</c:v>
                  </c:pt>
                  <c:pt idx="403">
                    <c:v>تهیه(11) مترمکعب کمپوست </c:v>
                  </c:pt>
                  <c:pt idx="404">
                    <c:v>تراسپلانت (10000) اصله نهال </c:v>
                  </c:pt>
                  <c:pt idx="405">
                    <c:v>حفریک حلقه چاه عمیق ونصب سولر</c:v>
                  </c:pt>
                  <c:pt idx="406">
                    <c:v>مواد ،تجهیزات ،وسایل کاروروغنیات </c:v>
                  </c:pt>
                  <c:pt idx="408">
                    <c:v>اماده سا ختن5جریب زمین </c:v>
                  </c:pt>
                  <c:pt idx="409">
                    <c:v>خیشاوه کتمن کاری (3) جریب زمین برای 3 مرتبه </c:v>
                  </c:pt>
                  <c:pt idx="410">
                    <c:v>پاککاری جوی ها بطول (250) متر</c:v>
                  </c:pt>
                  <c:pt idx="411">
                    <c:v>تهیه(15) مترمکعب کمپوست </c:v>
                  </c:pt>
                  <c:pt idx="412">
                    <c:v>بذرساحه یک جریب زمین درساحه آذاد</c:v>
                  </c:pt>
                  <c:pt idx="413">
                    <c:v>پرداخت پول سبز خانه قرارداد شده سال 1396</c:v>
                  </c:pt>
                  <c:pt idx="414">
                    <c:v>مواد ،تجهیزات ،وسایل کاروروغنیات </c:v>
                  </c:pt>
                  <c:pt idx="416">
                    <c:v>اماده سا ختن10جریب زمین </c:v>
                  </c:pt>
                  <c:pt idx="417">
                    <c:v>پاککاری جوی ها بطول (250) متر</c:v>
                  </c:pt>
                  <c:pt idx="418">
                    <c:v>تهیه(10) مترمکعب کمپوست </c:v>
                  </c:pt>
                  <c:pt idx="419">
                    <c:v>بذرساحه یک جریب زمین درساحه آذاد</c:v>
                  </c:pt>
                  <c:pt idx="420">
                    <c:v> نصب سیتم انرژی آفتابی یک حلقه چاه در قوریه تنی </c:v>
                  </c:pt>
                  <c:pt idx="421">
                    <c:v>مواد ،تجهیزات ،وسایل کاروروغنیات </c:v>
                  </c:pt>
                  <c:pt idx="423">
                    <c:v>اماده سا ختن 15جریب زمین </c:v>
                  </c:pt>
                  <c:pt idx="424">
                    <c:v>بذرساحه دو جریب زمین درساحه آذاد</c:v>
                  </c:pt>
                  <c:pt idx="425">
                    <c:v>پرکاری (40000) خریطه پلاستیکی وبذرآن</c:v>
                  </c:pt>
                  <c:pt idx="426">
                    <c:v>خیشاوه کتمن کاری 7جریب زمین برای3 مرتبه </c:v>
                  </c:pt>
                  <c:pt idx="427">
                    <c:v>پاککاری جوی ها بطول (300) متر</c:v>
                  </c:pt>
                  <c:pt idx="428">
                    <c:v>تهیه(20) مترمکعب کمپوست </c:v>
                  </c:pt>
                  <c:pt idx="429">
                    <c:v>تراسپلانت (15000) اصله نهال </c:v>
                  </c:pt>
                  <c:pt idx="430">
                    <c:v>حفر چقرک </c:v>
                  </c:pt>
                  <c:pt idx="431">
                    <c:v>نهال شانی نهال بانکس </c:v>
                  </c:pt>
                  <c:pt idx="432">
                    <c:v>آبیاری نهال های غرس شده برای یک مرتبه </c:v>
                  </c:pt>
                  <c:pt idx="433">
                    <c:v>تدویر ورکشاپ یک روزه برای 35 نفر کارمندان ریاست زراعت </c:v>
                  </c:pt>
                  <c:pt idx="434">
                    <c:v>آموزش کارمندان توسط ترینر</c:v>
                  </c:pt>
                  <c:pt idx="435">
                    <c:v>تهیه غذا ، قرطاسیه وسایر ضروریات ورکشاپ </c:v>
                  </c:pt>
                  <c:pt idx="436">
                    <c:v>خریداری نهال ریشه ئی بانکس وانتقال آن به ساحه </c:v>
                  </c:pt>
                  <c:pt idx="437">
                    <c:v>خریداری اجناس ووسایل وسایر ضروریات ازقبیل (متر ، بیل ، کلند کود سیاه وسفید ) وغیره </c:v>
                  </c:pt>
                  <c:pt idx="439">
                    <c:v>اماده ساختن وپلات بندی (4 )جریب زمین </c:v>
                  </c:pt>
                  <c:pt idx="440">
                    <c:v>خیشاوه کتمن کاری (3) جریب زمین برای 3 مرتبه </c:v>
                  </c:pt>
                  <c:pt idx="441">
                    <c:v>پاککاری جوی ها بطول (250) متر</c:v>
                  </c:pt>
                  <c:pt idx="442">
                    <c:v>تهیه(10) مترمکعب کمپوست </c:v>
                  </c:pt>
                  <c:pt idx="443">
                    <c:v>تراسپلانت (10000) اصله نهال </c:v>
                  </c:pt>
                  <c:pt idx="444">
                    <c:v>بذرساحه یک  جریب زمین درساحه آذاد</c:v>
                  </c:pt>
                  <c:pt idx="445">
                    <c:v>مواد ،تجهیزات ،وسایل کاروروغنیات </c:v>
                  </c:pt>
                  <c:pt idx="447">
                    <c:v>اماده ساختن وپلات بندی (4 )جریب زمین </c:v>
                  </c:pt>
                  <c:pt idx="448">
                    <c:v>پرکاری (30000) خریطه پلاستیکی وبذرآن</c:v>
                  </c:pt>
                  <c:pt idx="449">
                    <c:v>خیشاوه کتمن کاری (5) جریب زمین برای 3 مرتبه </c:v>
                  </c:pt>
                  <c:pt idx="450">
                    <c:v>پاککاری جوی ها بطول (300) متر</c:v>
                  </c:pt>
                  <c:pt idx="451">
                    <c:v>تهیه(15) مترمکعب کمپوست </c:v>
                  </c:pt>
                  <c:pt idx="452">
                    <c:v>تراسپلانت (10000) اصله نهال </c:v>
                  </c:pt>
                  <c:pt idx="453">
                    <c:v>بذرساحه یک   جریب زمین درساحه آذاد</c:v>
                  </c:pt>
                  <c:pt idx="454">
                    <c:v>مواد ،تجهیزات ،وسایل کاروروغنیات </c:v>
                  </c:pt>
                  <c:pt idx="456">
                    <c:v>اماده ساختن وپلات بندی (8 )جریب زمین </c:v>
                  </c:pt>
                  <c:pt idx="457">
                    <c:v>بذرساحه دو  جریب زمین درساحه آذاد</c:v>
                  </c:pt>
                  <c:pt idx="458">
                    <c:v>خیشاوه کتمن کاری (8) جریب زمین برای 3 مرتبه </c:v>
                  </c:pt>
                  <c:pt idx="459">
                    <c:v>پاککاری جوی ها بطول (350) متر</c:v>
                  </c:pt>
                  <c:pt idx="460">
                    <c:v>تهیه(15) مترمکعب کمپوست </c:v>
                  </c:pt>
                  <c:pt idx="461">
                    <c:v>تراسپلانت (30000) اصله نهال </c:v>
                  </c:pt>
                  <c:pt idx="462">
                    <c:v>مواد ،تجهیزات ،وسایل کاروروغنیات </c:v>
                  </c:pt>
                  <c:pt idx="464">
                    <c:v>اماده ساختن وپلات بندی (6 )جریب زمین </c:v>
                  </c:pt>
                  <c:pt idx="465">
                    <c:v>بذرساحه یک جریب زمین درساحه آذاد</c:v>
                  </c:pt>
                  <c:pt idx="466">
                    <c:v>پرکاری (20000) خریطه پلاستیکی وبذرآن</c:v>
                  </c:pt>
                  <c:pt idx="467">
                    <c:v>خیشاوه کتمن کاری (6) جریب زمین برای 3 مرتبه </c:v>
                  </c:pt>
                  <c:pt idx="468">
                    <c:v>پاککاری جوی ها بطول (300) متر</c:v>
                  </c:pt>
                  <c:pt idx="469">
                    <c:v>تهیه(20) مترمکعب کمپوست </c:v>
                  </c:pt>
                  <c:pt idx="470">
                    <c:v>تراسپلانت (15000) اصله نهال </c:v>
                  </c:pt>
                  <c:pt idx="471">
                    <c:v>مواد ،تجهیزات ،وسایل کاروروغنیات </c:v>
                  </c:pt>
                  <c:pt idx="473">
                    <c:v>آماده ساختن وپلات بندی6جریب زمین </c:v>
                  </c:pt>
                  <c:pt idx="474">
                    <c:v>خیشاوه کتمن کاری (5) جریب زمین برای 3 مرتبه </c:v>
                  </c:pt>
                  <c:pt idx="475">
                    <c:v>پاککاری جوی ها بطول (350) متر</c:v>
                  </c:pt>
                  <c:pt idx="476">
                    <c:v>تهیه(15) مترمکعب کمپوست </c:v>
                  </c:pt>
                  <c:pt idx="477">
                    <c:v>تراسپلانت (10000) اصله نهال </c:v>
                  </c:pt>
                  <c:pt idx="478">
                    <c:v>بذرساحه یک جریب زمین درساحه آذاد</c:v>
                  </c:pt>
                  <c:pt idx="479">
                    <c:v>مواد ،تجهیزات ،وسایل کاروروغنیات </c:v>
                  </c:pt>
                  <c:pt idx="481">
                    <c:v>آماده ساختن وپلات بندی10جریب زمین </c:v>
                  </c:pt>
                  <c:pt idx="482">
                    <c:v>خیشاوه کتمن کاری (6) جریب زمین برای 3 مرتبه </c:v>
                  </c:pt>
                  <c:pt idx="483">
                    <c:v>پاککاری جوی ها بطول (300) متر</c:v>
                  </c:pt>
                  <c:pt idx="484">
                    <c:v>تهیه(15) مترمکعب کمپوست </c:v>
                  </c:pt>
                  <c:pt idx="485">
                    <c:v>تراسپلانت (12000) اصله نهال </c:v>
                  </c:pt>
                  <c:pt idx="486">
                    <c:v>بذرساحه دو جریب زمین درساحه آذاد</c:v>
                  </c:pt>
                  <c:pt idx="487">
                    <c:v>مواد ،تجهیزات ،وسایل کاروروغنیات </c:v>
                  </c:pt>
                  <c:pt idx="489">
                    <c:v>آماده ساختن وپلات بندی8جریب زمین </c:v>
                  </c:pt>
                  <c:pt idx="490">
                    <c:v>خیشاوه کتمن کاری (6) جریب زمین برای 3 مرتبه </c:v>
                  </c:pt>
                  <c:pt idx="491">
                    <c:v>پاککاری جوی ها بطول (300) متر</c:v>
                  </c:pt>
                  <c:pt idx="492">
                    <c:v>تهیه(15) مترمکعب کمپوست </c:v>
                  </c:pt>
                  <c:pt idx="493">
                    <c:v>تراسپلانت (10000) اصله نهال </c:v>
                  </c:pt>
                  <c:pt idx="494">
                    <c:v>بذرساحه یک جریب زمین درساحه آذاد</c:v>
                  </c:pt>
                  <c:pt idx="495">
                    <c:v>مواد ،تجهیزات ،وسایل کاروروغنیات </c:v>
                  </c:pt>
                  <c:pt idx="497">
                    <c:v>آماده ساختن وپلات بندی15جریب زمین </c:v>
                  </c:pt>
                  <c:pt idx="498">
                    <c:v>خیشاوه کتمن کاری (5) جریب زمین برای 3 مرتبه </c:v>
                  </c:pt>
                  <c:pt idx="499">
                    <c:v>پاککاری جوی ها بطول (300) متر</c:v>
                  </c:pt>
                  <c:pt idx="500">
                    <c:v>تهیه(15) مترمکعب کمپوست </c:v>
                  </c:pt>
                  <c:pt idx="501">
                    <c:v>تراسپلانت (10000) اصله نهال </c:v>
                  </c:pt>
                  <c:pt idx="502">
                    <c:v>بذرساحه دو جریب زمین درساحه آذاد</c:v>
                  </c:pt>
                  <c:pt idx="503">
                    <c:v>مواد ،تجهیزات ،وسایل کاروروغنیات </c:v>
                  </c:pt>
                  <c:pt idx="505">
                    <c:v>آماده ساختن وپلات بندی15جریب زمین </c:v>
                  </c:pt>
                  <c:pt idx="506">
                    <c:v>بذرساحه دو جریب زمین درساحه آذاد</c:v>
                  </c:pt>
                  <c:pt idx="507">
                    <c:v>خیشاوه کتمن کاری (6) جریب زمین برای 3 مرتبه </c:v>
                  </c:pt>
                  <c:pt idx="508">
                    <c:v>پاککاری جوی ها بطول (350) متر</c:v>
                  </c:pt>
                  <c:pt idx="509">
                    <c:v>تهیه(15) مترمکعب کمپوست </c:v>
                  </c:pt>
                  <c:pt idx="510">
                    <c:v>تراسپلانت (20000) اصله نهال </c:v>
                  </c:pt>
                  <c:pt idx="511">
                    <c:v>مواد ،تجهیزات ،وسایل کاروروغنیات </c:v>
                  </c:pt>
                  <c:pt idx="513">
                    <c:v>آماده ساختن وپلات بندی 4 جریب زمین </c:v>
                  </c:pt>
                  <c:pt idx="514">
                    <c:v>خیشاوه کتمن کاری (2) جریب زمین برای 3 مرتبه </c:v>
                  </c:pt>
                  <c:pt idx="515">
                    <c:v>بذرساحه یک جریب زمین درساحه آذاد</c:v>
                  </c:pt>
                  <c:pt idx="516">
                    <c:v>پاککاری جوی ها بطول (300) متر</c:v>
                  </c:pt>
                  <c:pt idx="517">
                    <c:v>تهیه(10) مترمکعب کمپوست </c:v>
                  </c:pt>
                  <c:pt idx="518">
                    <c:v>مواد ،تجهیزات ،وسایل کاروروغنیات </c:v>
                  </c:pt>
                  <c:pt idx="520">
                    <c:v>آماده ساختن وپلات بندی 10جریب زمین </c:v>
                  </c:pt>
                  <c:pt idx="521">
                    <c:v>بذرساحه یک جریب زمین درساحه آذاد</c:v>
                  </c:pt>
                  <c:pt idx="522">
                    <c:v>خیشاوه کتمن کاری (6) جریب زمین برای 3 مرتبه </c:v>
                  </c:pt>
                  <c:pt idx="523">
                    <c:v>پاککاری جوی ها بطول (300) متر</c:v>
                  </c:pt>
                  <c:pt idx="524">
                    <c:v>تهیه(10) مترمکعب کمپوست </c:v>
                  </c:pt>
                  <c:pt idx="525">
                    <c:v>تراسپلانت (10000) اصله نهال </c:v>
                  </c:pt>
                  <c:pt idx="526">
                    <c:v>مواد ،تجهیزات ،وسایل کاروروغنیات </c:v>
                  </c:pt>
                  <c:pt idx="528">
                    <c:v>آماده ساختن وپلات بندی6.5 جریب زمین </c:v>
                  </c:pt>
                  <c:pt idx="529">
                    <c:v>بذرساحه یک جریب زمین درساحه آذاد</c:v>
                  </c:pt>
                  <c:pt idx="530">
                    <c:v>خیشاوه کتمن کاری (5) جریب زمین برای 3 مرتبه </c:v>
                  </c:pt>
                  <c:pt idx="531">
                    <c:v>پاککاری جوی ها بطول (333) متر</c:v>
                  </c:pt>
                  <c:pt idx="532">
                    <c:v>تهیه(20) مترمکعب کمپوست </c:v>
                  </c:pt>
                  <c:pt idx="533">
                    <c:v>تراسپلانت (11000) اصله نهال </c:v>
                  </c:pt>
                  <c:pt idx="534">
                    <c:v>مواد ،تجهیزات ،وسایل کاروروغنیات </c:v>
                  </c:pt>
                  <c:pt idx="538">
                    <c:v>محصول</c:v>
                  </c:pt>
                  <c:pt idx="539">
                    <c:v>موجودیت  صفا کار</c:v>
                  </c:pt>
                  <c:pt idx="540">
                    <c:v>موجودیت محافظین</c:v>
                  </c:pt>
                  <c:pt idx="541">
                    <c:v>موجودیت پیاده رو سنگفرش و پخته</c:v>
                  </c:pt>
                  <c:pt idx="542">
                    <c:v>موجودیت آب در کمپلکس</c:v>
                  </c:pt>
                  <c:pt idx="544">
                    <c:v>محصول</c:v>
                  </c:pt>
                  <c:pt idx="545">
                    <c:v>موجودیت سوپروایزر</c:v>
                  </c:pt>
                  <c:pt idx="546">
                    <c:v>موجودیت محافظین</c:v>
                  </c:pt>
                  <c:pt idx="548">
                    <c:v>محصول</c:v>
                  </c:pt>
                  <c:pt idx="549">
                    <c:v>موجودیت محافظین</c:v>
                  </c:pt>
                  <c:pt idx="553">
                    <c:v>تمدید قرارداد 1 نفر متخصص مدیریت تغیر   منابع طبیعی</c:v>
                  </c:pt>
                  <c:pt idx="554">
                    <c:v>مصارف اداری، نظارت، ارزیابی ومصارف احتمالی </c:v>
                  </c:pt>
                  <c:pt idx="557">
                    <c:v>قیمت  هربخش  به افغانی </c:v>
                  </c:pt>
                  <c:pt idx="558">
                    <c:v> 13,770,000 </c:v>
                  </c:pt>
                  <c:pt idx="559">
                    <c:v> 17,808,821 </c:v>
                  </c:pt>
                  <c:pt idx="560">
                    <c:v> 26,601,968 </c:v>
                  </c:pt>
                  <c:pt idx="561">
                    <c:v> 7,828,100 </c:v>
                  </c:pt>
                  <c:pt idx="562">
                    <c:v> 2,331,110 </c:v>
                  </c:pt>
                  <c:pt idx="563">
                    <c:v> 68,340,000 </c:v>
                  </c:pt>
                  <c:pt idx="576">
                    <c:v>تصدیق کننده</c:v>
                  </c:pt>
                  <c:pt idx="577">
                    <c:v> انجنیر فهیم الله ضیائی  </c:v>
                  </c:pt>
                  <c:pt idx="578">
                    <c:v>معین آبیاری ومنابع طبیعی </c:v>
                  </c:pt>
                </c:lvl>
                <c:lvl>
                  <c:pt idx="2">
                    <c:v>قریه</c:v>
                  </c:pt>
                  <c:pt idx="8">
                    <c:v>قریه</c:v>
                  </c:pt>
                  <c:pt idx="9">
                    <c:v>ده برنج ،خارستانلامان  </c:v>
                  </c:pt>
                  <c:pt idx="13">
                    <c:v>قریه</c:v>
                  </c:pt>
                  <c:pt idx="14">
                    <c:v>بادام دره ، خطایان ،جوی شیخ وقبر قاضی </c:v>
                  </c:pt>
                  <c:pt idx="19">
                    <c:v>قریه</c:v>
                  </c:pt>
                  <c:pt idx="24">
                    <c:v>قریه</c:v>
                  </c:pt>
                  <c:pt idx="25">
                    <c:v>حضرت سلطان </c:v>
                  </c:pt>
                  <c:pt idx="29">
                    <c:v>قریه</c:v>
                  </c:pt>
                  <c:pt idx="33">
                    <c:v>قریه</c:v>
                  </c:pt>
                  <c:pt idx="37">
                    <c:v>قریه</c:v>
                  </c:pt>
                  <c:pt idx="41">
                    <c:v>قریه</c:v>
                  </c:pt>
                  <c:pt idx="47">
                    <c:v>قریه</c:v>
                  </c:pt>
                  <c:pt idx="54">
                    <c:v>قریه</c:v>
                  </c:pt>
                  <c:pt idx="55">
                    <c:v>روی دره ،کرامان وآب دره </c:v>
                  </c:pt>
                  <c:pt idx="59">
                    <c:v>قریه</c:v>
                  </c:pt>
                  <c:pt idx="64">
                    <c:v>قریه</c:v>
                  </c:pt>
                  <c:pt idx="70">
                    <c:v>قریه</c:v>
                  </c:pt>
                  <c:pt idx="72">
                    <c:v>دره قاق وتنگانی </c:v>
                  </c:pt>
                  <c:pt idx="86">
                    <c:v>قریه</c:v>
                  </c:pt>
                  <c:pt idx="87">
                    <c:v>بوزارق</c:v>
                  </c:pt>
                  <c:pt idx="114">
                    <c:v>قریه</c:v>
                  </c:pt>
                  <c:pt idx="115">
                    <c:v>دشت امرود</c:v>
                  </c:pt>
                  <c:pt idx="129">
                    <c:v>قریه</c:v>
                  </c:pt>
                  <c:pt idx="157">
                    <c:v>قریه</c:v>
                  </c:pt>
                  <c:pt idx="158">
                    <c:v>حضرت سلطان ، دره شرق </c:v>
                  </c:pt>
                  <c:pt idx="172">
                    <c:v>قریه</c:v>
                  </c:pt>
                  <c:pt idx="173">
                    <c:v>بهائی ,بخارا، وسبزناله
</c:v>
                  </c:pt>
                  <c:pt idx="180">
                    <c:v>قریه</c:v>
                  </c:pt>
                  <c:pt idx="181">
                    <c:v>کاسی ،تیل بای، نظر،دهن قره باغی  </c:v>
                  </c:pt>
                  <c:pt idx="187">
                    <c:v>قریه</c:v>
                  </c:pt>
                  <c:pt idx="216">
                    <c:v>قریه</c:v>
                  </c:pt>
                  <c:pt idx="217">
                    <c:v>تورغندی وشه بخش</c:v>
                  </c:pt>
                  <c:pt idx="237">
                    <c:v>قریه</c:v>
                  </c:pt>
                  <c:pt idx="245">
                    <c:v>قریه</c:v>
                  </c:pt>
                  <c:pt idx="253">
                    <c:v>قریه</c:v>
                  </c:pt>
                  <c:pt idx="254">
                    <c:v>وریاچ</c:v>
                  </c:pt>
                  <c:pt idx="261">
                    <c:v>قریه</c:v>
                  </c:pt>
                  <c:pt idx="269">
                    <c:v>قریه</c:v>
                  </c:pt>
                  <c:pt idx="270">
                    <c:v>جوییخ وقبر قاضی </c:v>
                  </c:pt>
                  <c:pt idx="283">
                    <c:v>قریه</c:v>
                  </c:pt>
                  <c:pt idx="284">
                    <c:v>قرغن تو، وقریجا وسولای سه گانه</c:v>
                  </c:pt>
                  <c:pt idx="302">
                    <c:v>قریه</c:v>
                  </c:pt>
                  <c:pt idx="303">
                    <c:v>عقب ولسوالی </c:v>
                  </c:pt>
                  <c:pt idx="311">
                    <c:v>مرکز باغ جبل السراج</c:v>
                  </c:pt>
                  <c:pt idx="319">
                    <c:v>شوخی </c:v>
                  </c:pt>
                  <c:pt idx="327">
                    <c:v>دشت توپ</c:v>
                  </c:pt>
                  <c:pt idx="334">
                    <c:v>مره لاق ودشتک </c:v>
                  </c:pt>
                  <c:pt idx="342">
                    <c:v>شش پل</c:v>
                  </c:pt>
                  <c:pt idx="348">
                    <c:v>ده هدادی</c:v>
                  </c:pt>
                  <c:pt idx="357">
                    <c:v>تاشلی گذر</c:v>
                  </c:pt>
                  <c:pt idx="365">
                    <c:v>جنگل باغ شبرغان</c:v>
                  </c:pt>
                  <c:pt idx="373">
                    <c:v>کارته مامورین </c:v>
                  </c:pt>
                  <c:pt idx="382">
                    <c:v>جنگل باغ</c:v>
                  </c:pt>
                  <c:pt idx="390">
                    <c:v>باغ تیره </c:v>
                  </c:pt>
                  <c:pt idx="398">
                    <c:v>جنگل باغ </c:v>
                  </c:pt>
                  <c:pt idx="408">
                    <c:v>مرکز</c:v>
                  </c:pt>
                  <c:pt idx="416">
                    <c:v>مرکز ولسوالی </c:v>
                  </c:pt>
                  <c:pt idx="423">
                    <c:v>ولسوالی بهسود وفارم جدید </c:v>
                  </c:pt>
                  <c:pt idx="439">
                    <c:v>باغ قلعه سراج </c:v>
                  </c:pt>
                  <c:pt idx="447">
                    <c:v>مندکول</c:v>
                  </c:pt>
                  <c:pt idx="456">
                    <c:v>جنگل باغ پل پشتو</c:v>
                  </c:pt>
                  <c:pt idx="464">
                    <c:v>جنگل باغ شمالی</c:v>
                  </c:pt>
                  <c:pt idx="473">
                    <c:v>مرکز</c:v>
                  </c:pt>
                  <c:pt idx="481">
                    <c:v>فارم شگوفان </c:v>
                  </c:pt>
                  <c:pt idx="489">
                    <c:v>مرکز ولسوالی </c:v>
                  </c:pt>
                  <c:pt idx="497">
                    <c:v>باغ اختر</c:v>
                  </c:pt>
                  <c:pt idx="505">
                    <c:v>جنگل باغ  تالقان وچاه عمیق </c:v>
                  </c:pt>
                  <c:pt idx="513">
                    <c:v>مرکزترویجی</c:v>
                  </c:pt>
                  <c:pt idx="520">
                    <c:v>مرکز</c:v>
                  </c:pt>
                  <c:pt idx="528">
                    <c:v>مرکز</c:v>
                  </c:pt>
                  <c:pt idx="538">
                    <c:v>قریه</c:v>
                  </c:pt>
                  <c:pt idx="539">
                    <c:v>بند امیر</c:v>
                  </c:pt>
                  <c:pt idx="540">
                    <c:v>بند امیر</c:v>
                  </c:pt>
                  <c:pt idx="541">
                    <c:v>بند امیر</c:v>
                  </c:pt>
                  <c:pt idx="542">
                    <c:v>بند امیر</c:v>
                  </c:pt>
                  <c:pt idx="544">
                    <c:v>قریه</c:v>
                  </c:pt>
                  <c:pt idx="545">
                    <c:v>پارک ملی واخان</c:v>
                  </c:pt>
                  <c:pt idx="546">
                    <c:v>پارک ملی واخان</c:v>
                  </c:pt>
                  <c:pt idx="548">
                    <c:v>قریه</c:v>
                  </c:pt>
                  <c:pt idx="549">
                    <c:v>کول حشمت خان</c:v>
                  </c:pt>
                  <c:pt idx="553">
                    <c:v>مرکز </c:v>
                  </c:pt>
                  <c:pt idx="554">
                    <c:v>مرکز </c:v>
                  </c:pt>
                  <c:pt idx="565">
                    <c:v>وظیفه</c:v>
                  </c:pt>
                  <c:pt idx="566">
                    <c:v>امرتنظیم جنگلات وابریزه ها </c:v>
                  </c:pt>
                  <c:pt idx="567">
                    <c:v>امر احیا وتوسعه جنگلات </c:v>
                  </c:pt>
                  <c:pt idx="568">
                    <c:v>امرتنظیم علفچرها </c:v>
                  </c:pt>
                  <c:pt idx="569">
                    <c:v>مدیر پارک های ملی</c:v>
                  </c:pt>
                  <c:pt idx="571">
                    <c:v>رئیس جنگلات</c:v>
                  </c:pt>
                  <c:pt idx="572">
                    <c:v>رئیس علفچر ها</c:v>
                  </c:pt>
                  <c:pt idx="573">
                    <c:v>رئیس ساحات حفاظت شده </c:v>
                  </c:pt>
                  <c:pt idx="575">
                    <c:v>مدیر عمومی پلان و هماهنگی پروژه ها</c:v>
                  </c:pt>
                </c:lvl>
                <c:lvl>
                  <c:pt idx="2">
                    <c:v>ولسوالی</c:v>
                  </c:pt>
                  <c:pt idx="4">
                    <c:v>کشک کهنه </c:v>
                  </c:pt>
                  <c:pt idx="8">
                    <c:v>ولسوالی</c:v>
                  </c:pt>
                  <c:pt idx="9">
                    <c:v>قادس ،مقر مرکز </c:v>
                  </c:pt>
                  <c:pt idx="13">
                    <c:v>ولسوالی</c:v>
                  </c:pt>
                  <c:pt idx="14">
                    <c:v>نمک آب وبهارک </c:v>
                  </c:pt>
                  <c:pt idx="19">
                    <c:v>ولسوالی</c:v>
                  </c:pt>
                  <c:pt idx="20">
                    <c:v>ارگو، درایم</c:v>
                  </c:pt>
                  <c:pt idx="24">
                    <c:v>ولسوالی</c:v>
                  </c:pt>
                  <c:pt idx="25">
                    <c:v>مرکز </c:v>
                  </c:pt>
                  <c:pt idx="29">
                    <c:v>ولسوالی</c:v>
                  </c:pt>
                  <c:pt idx="30">
                    <c:v>مرکز</c:v>
                  </c:pt>
                  <c:pt idx="33">
                    <c:v>ولسوالی</c:v>
                  </c:pt>
                  <c:pt idx="34">
                    <c:v>مرکز</c:v>
                  </c:pt>
                  <c:pt idx="37">
                    <c:v>ولسوالی</c:v>
                  </c:pt>
                  <c:pt idx="38">
                    <c:v>مرکز </c:v>
                  </c:pt>
                  <c:pt idx="41">
                    <c:v>ولسوالی</c:v>
                  </c:pt>
                  <c:pt idx="42">
                    <c:v>ازره </c:v>
                  </c:pt>
                  <c:pt idx="47">
                    <c:v>ولسوالی</c:v>
                  </c:pt>
                  <c:pt idx="48">
                    <c:v>مانوگی، وته پور، و دانگام </c:v>
                  </c:pt>
                  <c:pt idx="54">
                    <c:v>ولسوالی</c:v>
                  </c:pt>
                  <c:pt idx="55">
                    <c:v>شتل ، دره وعنابه </c:v>
                  </c:pt>
                  <c:pt idx="59">
                    <c:v>ولسوالی</c:v>
                  </c:pt>
                  <c:pt idx="60">
                    <c:v>مرکز </c:v>
                  </c:pt>
                  <c:pt idx="64">
                    <c:v>ولسوالی</c:v>
                  </c:pt>
                  <c:pt idx="65">
                    <c:v>مرکز</c:v>
                  </c:pt>
                  <c:pt idx="70">
                    <c:v>ولسوالی</c:v>
                  </c:pt>
                  <c:pt idx="72">
                    <c:v>درایم وکشکان</c:v>
                  </c:pt>
                  <c:pt idx="86">
                    <c:v>ولسوالی</c:v>
                  </c:pt>
                  <c:pt idx="87">
                    <c:v>شورتپه ،چمتال، دهداتی</c:v>
                  </c:pt>
                  <c:pt idx="114">
                    <c:v>ولسوالی</c:v>
                  </c:pt>
                  <c:pt idx="115">
                    <c:v>خنجان </c:v>
                  </c:pt>
                  <c:pt idx="129">
                    <c:v>ولسوالی</c:v>
                  </c:pt>
                  <c:pt idx="130">
                    <c:v>مرکز ، قرقین </c:v>
                  </c:pt>
                  <c:pt idx="157">
                    <c:v>ولسوالی</c:v>
                  </c:pt>
                  <c:pt idx="158">
                    <c:v>مرکز، خرم سارباغ،حضرت سلطان </c:v>
                  </c:pt>
                  <c:pt idx="172">
                    <c:v>ولسوالی</c:v>
                  </c:pt>
                  <c:pt idx="173">
                    <c:v>ناهور</c:v>
                  </c:pt>
                  <c:pt idx="180">
                    <c:v>ولسوالی</c:v>
                  </c:pt>
                  <c:pt idx="181">
                    <c:v>مرکز, دولتیارولعل </c:v>
                  </c:pt>
                  <c:pt idx="187">
                    <c:v>ولسوالی</c:v>
                  </c:pt>
                  <c:pt idx="188">
                    <c:v>اندخوی</c:v>
                  </c:pt>
                  <c:pt idx="216">
                    <c:v>ولسوالی</c:v>
                  </c:pt>
                  <c:pt idx="217">
                    <c:v>غوریان وربات سنگی </c:v>
                  </c:pt>
                  <c:pt idx="237">
                    <c:v>ولسوالی</c:v>
                  </c:pt>
                  <c:pt idx="238">
                    <c:v>قلعه نو </c:v>
                  </c:pt>
                  <c:pt idx="245">
                    <c:v>ولسوالی</c:v>
                  </c:pt>
                  <c:pt idx="246">
                    <c:v>خدر وسنگ تخت </c:v>
                  </c:pt>
                  <c:pt idx="253">
                    <c:v>ولسوالی</c:v>
                  </c:pt>
                  <c:pt idx="254">
                    <c:v> پریان </c:v>
                  </c:pt>
                  <c:pt idx="261">
                    <c:v>ولسوالی</c:v>
                  </c:pt>
                  <c:pt idx="262">
                    <c:v>حصله اول بهسود</c:v>
                  </c:pt>
                  <c:pt idx="269">
                    <c:v>ولسوالی</c:v>
                  </c:pt>
                  <c:pt idx="270">
                    <c:v>مرکز </c:v>
                  </c:pt>
                  <c:pt idx="283">
                    <c:v>ولسوالی</c:v>
                  </c:pt>
                  <c:pt idx="284">
                    <c:v> مرکز ،سیغان،ورس وکه مرد</c:v>
                  </c:pt>
                  <c:pt idx="297">
                    <c:v>مرکز</c:v>
                  </c:pt>
                  <c:pt idx="302">
                    <c:v>ولسوالی</c:v>
                  </c:pt>
                  <c:pt idx="303">
                    <c:v>استالف </c:v>
                  </c:pt>
                  <c:pt idx="311">
                    <c:v>ولسوالی جبل السراج </c:v>
                  </c:pt>
                  <c:pt idx="319">
                    <c:v>مرکز</c:v>
                  </c:pt>
                  <c:pt idx="327">
                    <c:v>ولسوالی سید آباد</c:v>
                  </c:pt>
                  <c:pt idx="334">
                    <c:v>رخه ومرکز </c:v>
                  </c:pt>
                  <c:pt idx="342">
                    <c:v>مرکز </c:v>
                  </c:pt>
                  <c:pt idx="348">
                    <c:v>مرکز ولسوالی بلخ </c:v>
                  </c:pt>
                  <c:pt idx="357">
                    <c:v>مرکز </c:v>
                  </c:pt>
                  <c:pt idx="365">
                    <c:v>مرکز</c:v>
                  </c:pt>
                  <c:pt idx="373">
                    <c:v>مرکز </c:v>
                  </c:pt>
                  <c:pt idx="382">
                    <c:v>مرکز </c:v>
                  </c:pt>
                  <c:pt idx="390">
                    <c:v>مرکز</c:v>
                  </c:pt>
                  <c:pt idx="398">
                    <c:v>مرکز</c:v>
                  </c:pt>
                  <c:pt idx="408">
                    <c:v>مرکز </c:v>
                  </c:pt>
                  <c:pt idx="416">
                    <c:v>تنی </c:v>
                  </c:pt>
                  <c:pt idx="423">
                    <c:v>ولسوالی بهسود وفارم جدید </c:v>
                  </c:pt>
                  <c:pt idx="439">
                    <c:v>مرکز </c:v>
                  </c:pt>
                  <c:pt idx="447">
                    <c:v>مرکز </c:v>
                  </c:pt>
                  <c:pt idx="456">
                    <c:v>گذره </c:v>
                  </c:pt>
                  <c:pt idx="464">
                    <c:v>مرکز</c:v>
                  </c:pt>
                  <c:pt idx="473">
                    <c:v>مرکز </c:v>
                  </c:pt>
                  <c:pt idx="481">
                    <c:v>مرکز </c:v>
                  </c:pt>
                  <c:pt idx="489">
                    <c:v>کشم </c:v>
                  </c:pt>
                  <c:pt idx="497">
                    <c:v>بغلان جدید </c:v>
                  </c:pt>
                  <c:pt idx="505">
                    <c:v>مرکز</c:v>
                  </c:pt>
                  <c:pt idx="513">
                    <c:v>ژیری</c:v>
                  </c:pt>
                  <c:pt idx="520">
                    <c:v>مرکز</c:v>
                  </c:pt>
                  <c:pt idx="528">
                    <c:v>شهرستان  </c:v>
                  </c:pt>
                  <c:pt idx="538">
                    <c:v>ولسوالی</c:v>
                  </c:pt>
                  <c:pt idx="539">
                    <c:v>یکاولنگ</c:v>
                  </c:pt>
                  <c:pt idx="540">
                    <c:v>یکاولنگ</c:v>
                  </c:pt>
                  <c:pt idx="541">
                    <c:v>یکاولنگ</c:v>
                  </c:pt>
                  <c:pt idx="542">
                    <c:v>یکاولنگ</c:v>
                  </c:pt>
                  <c:pt idx="543">
                    <c:v>مجموع فرعی </c:v>
                  </c:pt>
                  <c:pt idx="544">
                    <c:v>ولسوالی</c:v>
                  </c:pt>
                  <c:pt idx="545">
                    <c:v>واخان</c:v>
                  </c:pt>
                  <c:pt idx="546">
                    <c:v>واخان</c:v>
                  </c:pt>
                  <c:pt idx="547">
                    <c:v>مجموع فرعی </c:v>
                  </c:pt>
                  <c:pt idx="548">
                    <c:v>ولسوالی</c:v>
                  </c:pt>
                  <c:pt idx="549">
                    <c:v>بگرامی</c:v>
                  </c:pt>
                  <c:pt idx="550">
                    <c:v>مجموع فرعی </c:v>
                  </c:pt>
                  <c:pt idx="553">
                    <c:v>مرکز </c:v>
                  </c:pt>
                  <c:pt idx="554">
                    <c:v>مرکز </c:v>
                  </c:pt>
                  <c:pt idx="555">
                    <c:v>مجموع فرعی </c:v>
                  </c:pt>
                  <c:pt idx="558">
                    <c:v>احیاء و حفاظت جنگلات، تنظیم آبریزه ها زنجیره ارزش افزایی محصولات</c:v>
                  </c:pt>
                  <c:pt idx="559">
                    <c:v>تنظیم همه جانبه علفچر ها و نباتات طبی</c:v>
                  </c:pt>
                  <c:pt idx="560">
                    <c:v>احیای فارم ها و جنگل باغ ها غرض گسترش فضای سبز</c:v>
                  </c:pt>
                  <c:pt idx="561">
                    <c:v>انکشاف ایکوسیستم های طبیعی با ارزش</c:v>
                  </c:pt>
                  <c:pt idx="562">
                    <c:v>  معاش 2 نفر متخصص ،نظارت ،ارزیابی  از فعالیت های برنامه  ملی منابع طبیعی ومصارف احتمالی </c:v>
                  </c:pt>
                  <c:pt idx="566">
                    <c:v> سید امین الله فخری </c:v>
                  </c:pt>
                  <c:pt idx="567">
                    <c:v>احمد شاه امرخیل </c:v>
                  </c:pt>
                  <c:pt idx="568">
                    <c:v>غلام دستگیر سروری </c:v>
                  </c:pt>
                  <c:pt idx="569">
                    <c:v>عبدالقیوم پاینده</c:v>
                  </c:pt>
                  <c:pt idx="571">
                    <c:v>محمد امان امانیار</c:v>
                  </c:pt>
                  <c:pt idx="572">
                    <c:v>انجنیر محمد عارف حسینی</c:v>
                  </c:pt>
                  <c:pt idx="573">
                    <c:v>سید رحمن زیارمل </c:v>
                  </c:pt>
                  <c:pt idx="575">
                    <c:v>رفاع الدین امینی</c:v>
                  </c:pt>
                  <c:pt idx="576">
                    <c:v>تصدیق کننده</c:v>
                  </c:pt>
                  <c:pt idx="577">
                    <c:v>محمد رفیع قاضی زاده</c:v>
                  </c:pt>
                  <c:pt idx="578">
                    <c:v>رئیس عمومی منابع طبیعی</c:v>
                  </c:pt>
                </c:lvl>
                <c:lvl>
                  <c:pt idx="0">
                    <c:v>ضمیمه 3: پلان کاری سالانه برنامه برای سال 1397</c:v>
                  </c:pt>
                  <c:pt idx="1">
                    <c:v>الف: احیاء و حفاظت جنگلات، تنظیم آبریزه ها و زنجیره ارزش افزایی محصولات جنگل</c:v>
                  </c:pt>
                  <c:pt idx="2">
                    <c:v>ولایات</c:v>
                  </c:pt>
                  <c:pt idx="4">
                    <c:v>هرات </c:v>
                  </c:pt>
                  <c:pt idx="7">
                    <c:v>مجموع فرعی </c:v>
                  </c:pt>
                  <c:pt idx="8">
                    <c:v>ولایات</c:v>
                  </c:pt>
                  <c:pt idx="9">
                    <c:v>بادغیس </c:v>
                  </c:pt>
                  <c:pt idx="12">
                    <c:v>مجموع فرعی </c:v>
                  </c:pt>
                  <c:pt idx="13">
                    <c:v>ولایات</c:v>
                  </c:pt>
                  <c:pt idx="14">
                    <c:v>تخار </c:v>
                  </c:pt>
                  <c:pt idx="18">
                    <c:v>مجموع فرعی </c:v>
                  </c:pt>
                  <c:pt idx="19">
                    <c:v>ولایات</c:v>
                  </c:pt>
                  <c:pt idx="20">
                    <c:v>بدخشان </c:v>
                  </c:pt>
                  <c:pt idx="23">
                    <c:v>مجموع فرعی </c:v>
                  </c:pt>
                  <c:pt idx="24">
                    <c:v>ولایات</c:v>
                  </c:pt>
                  <c:pt idx="25">
                    <c:v>سمنگان </c:v>
                  </c:pt>
                  <c:pt idx="28">
                    <c:v>مجموع فرعی </c:v>
                  </c:pt>
                  <c:pt idx="29">
                    <c:v>ولایات</c:v>
                  </c:pt>
                  <c:pt idx="30">
                    <c:v>پکتیا </c:v>
                  </c:pt>
                  <c:pt idx="32">
                    <c:v>مجموع فرعی </c:v>
                  </c:pt>
                  <c:pt idx="33">
                    <c:v>ولایات</c:v>
                  </c:pt>
                  <c:pt idx="34">
                    <c:v>پکتیکا </c:v>
                  </c:pt>
                  <c:pt idx="36">
                    <c:v>مجموع فرعی </c:v>
                  </c:pt>
                  <c:pt idx="37">
                    <c:v>ولایات</c:v>
                  </c:pt>
                  <c:pt idx="38">
                    <c:v>خوست </c:v>
                  </c:pt>
                  <c:pt idx="40">
                    <c:v>مجموع فرعی </c:v>
                  </c:pt>
                  <c:pt idx="41">
                    <c:v>ولایات</c:v>
                  </c:pt>
                  <c:pt idx="42">
                    <c:v>لوگر </c:v>
                  </c:pt>
                  <c:pt idx="46">
                    <c:v>مجموع فرعی </c:v>
                  </c:pt>
                  <c:pt idx="47">
                    <c:v>ولایات</c:v>
                  </c:pt>
                  <c:pt idx="48">
                    <c:v>کنر </c:v>
                  </c:pt>
                  <c:pt idx="53">
                    <c:v>مجموع فرعی </c:v>
                  </c:pt>
                  <c:pt idx="54">
                    <c:v>ولایات</c:v>
                  </c:pt>
                  <c:pt idx="55">
                    <c:v>پنجشیر </c:v>
                  </c:pt>
                  <c:pt idx="58">
                    <c:v>مجموع فرعی </c:v>
                  </c:pt>
                  <c:pt idx="59">
                    <c:v>ولایات</c:v>
                  </c:pt>
                  <c:pt idx="60">
                    <c:v>دایکندی </c:v>
                  </c:pt>
                  <c:pt idx="63">
                    <c:v>مجموع فرعی </c:v>
                  </c:pt>
                  <c:pt idx="64">
                    <c:v>ولایات</c:v>
                  </c:pt>
                  <c:pt idx="65">
                    <c:v>مرکز </c:v>
                  </c:pt>
                  <c:pt idx="67">
                    <c:v>مجموع فرعی </c:v>
                  </c:pt>
                  <c:pt idx="68">
                    <c:v>مجموعی عمومی تنظیم جنگلات و آبریزه ها</c:v>
                  </c:pt>
                  <c:pt idx="69">
                    <c:v>ج : تنظیم همه جانبه علفچر ونباتات طبی سال 1397</c:v>
                  </c:pt>
                  <c:pt idx="70">
                    <c:v>ولایت</c:v>
                  </c:pt>
                  <c:pt idx="72">
                    <c:v>بدخشان</c:v>
                  </c:pt>
                  <c:pt idx="85">
                    <c:v>مجموع </c:v>
                  </c:pt>
                  <c:pt idx="86">
                    <c:v>ولایات</c:v>
                  </c:pt>
                  <c:pt idx="87">
                    <c:v>بلخ</c:v>
                  </c:pt>
                  <c:pt idx="113">
                    <c:v>مجموع </c:v>
                  </c:pt>
                  <c:pt idx="114">
                    <c:v>ولایات</c:v>
                  </c:pt>
                  <c:pt idx="115">
                    <c:v>بغلان</c:v>
                  </c:pt>
                  <c:pt idx="128">
                    <c:v>مجموع </c:v>
                  </c:pt>
                  <c:pt idx="129">
                    <c:v>ولایات</c:v>
                  </c:pt>
                  <c:pt idx="130">
                    <c:v>جوزجان</c:v>
                  </c:pt>
                  <c:pt idx="156">
                    <c:v>مجموع </c:v>
                  </c:pt>
                  <c:pt idx="157">
                    <c:v>ولایات</c:v>
                  </c:pt>
                  <c:pt idx="158">
                    <c:v>سمنگان</c:v>
                  </c:pt>
                  <c:pt idx="171">
                    <c:v>مجموع </c:v>
                  </c:pt>
                  <c:pt idx="172">
                    <c:v>ولایات</c:v>
                  </c:pt>
                  <c:pt idx="173">
                    <c:v>غزنی</c:v>
                  </c:pt>
                  <c:pt idx="179">
                    <c:v>مجموع </c:v>
                  </c:pt>
                  <c:pt idx="180">
                    <c:v>ولایات</c:v>
                  </c:pt>
                  <c:pt idx="181">
                    <c:v>غور</c:v>
                  </c:pt>
                  <c:pt idx="186">
                    <c:v>مجموع </c:v>
                  </c:pt>
                  <c:pt idx="187">
                    <c:v>ولایات</c:v>
                  </c:pt>
                  <c:pt idx="188">
                    <c:v>فاریاب </c:v>
                  </c:pt>
                  <c:pt idx="215">
                    <c:v>مجموع </c:v>
                  </c:pt>
                  <c:pt idx="216">
                    <c:v>ولایات</c:v>
                  </c:pt>
                  <c:pt idx="217">
                    <c:v>هرات </c:v>
                  </c:pt>
                  <c:pt idx="236">
                    <c:v>مجموع </c:v>
                  </c:pt>
                  <c:pt idx="237">
                    <c:v>ولایات</c:v>
                  </c:pt>
                  <c:pt idx="238">
                    <c:v>بادغیس</c:v>
                  </c:pt>
                  <c:pt idx="244">
                    <c:v>مجموع </c:v>
                  </c:pt>
                  <c:pt idx="245">
                    <c:v>ولایات</c:v>
                  </c:pt>
                  <c:pt idx="246">
                    <c:v>دایکندی</c:v>
                  </c:pt>
                  <c:pt idx="252">
                    <c:v>مجموع </c:v>
                  </c:pt>
                  <c:pt idx="253">
                    <c:v>ولایات</c:v>
                  </c:pt>
                  <c:pt idx="254">
                    <c:v>پنجشیر</c:v>
                  </c:pt>
                  <c:pt idx="260">
                    <c:v>مجموع </c:v>
                  </c:pt>
                  <c:pt idx="261">
                    <c:v>ولایات</c:v>
                  </c:pt>
                  <c:pt idx="262">
                    <c:v>میدان وردگ</c:v>
                  </c:pt>
                  <c:pt idx="268">
                    <c:v>مجموع </c:v>
                  </c:pt>
                  <c:pt idx="269">
                    <c:v>ولایات</c:v>
                  </c:pt>
                  <c:pt idx="270">
                    <c:v>تخار</c:v>
                  </c:pt>
                  <c:pt idx="282">
                    <c:v>مجموع </c:v>
                  </c:pt>
                  <c:pt idx="283">
                    <c:v>ولایات</c:v>
                  </c:pt>
                  <c:pt idx="284">
                    <c:v>بامیان</c:v>
                  </c:pt>
                  <c:pt idx="296">
                    <c:v>مجموع فرعی</c:v>
                  </c:pt>
                  <c:pt idx="297">
                    <c:v>مرکز </c:v>
                  </c:pt>
                  <c:pt idx="299">
                    <c:v>مجموع فرعی</c:v>
                  </c:pt>
                  <c:pt idx="300">
                    <c:v>مجموع بودجه بخش تنظیم علفچر ها و نباتات طبی</c:v>
                  </c:pt>
                  <c:pt idx="301">
                    <c:v>  ج : احیای فارم ها و جنگل باغ ها غرض گسترش فضای سبز</c:v>
                  </c:pt>
                  <c:pt idx="302">
                    <c:v>ولایات</c:v>
                  </c:pt>
                  <c:pt idx="303">
                    <c:v>کابل </c:v>
                  </c:pt>
                  <c:pt idx="310">
                    <c:v>مجموعی فرعی</c:v>
                  </c:pt>
                  <c:pt idx="311">
                    <c:v>پروان </c:v>
                  </c:pt>
                  <c:pt idx="318">
                    <c:v>مجموعی فرعی</c:v>
                  </c:pt>
                  <c:pt idx="319">
                    <c:v>کاپیسا</c:v>
                  </c:pt>
                  <c:pt idx="326">
                    <c:v>مجموعی فرعی</c:v>
                  </c:pt>
                  <c:pt idx="327">
                    <c:v>میدان وردک</c:v>
                  </c:pt>
                  <c:pt idx="333">
                    <c:v>مجموعی فرعی</c:v>
                  </c:pt>
                  <c:pt idx="334">
                    <c:v>پنجشیر</c:v>
                  </c:pt>
                  <c:pt idx="341">
                    <c:v>مجموعی فرعی</c:v>
                  </c:pt>
                  <c:pt idx="342">
                    <c:v>بامیان</c:v>
                  </c:pt>
                  <c:pt idx="347">
                    <c:v>مجموعی فرعی</c:v>
                  </c:pt>
                  <c:pt idx="348">
                    <c:v>بلخ</c:v>
                  </c:pt>
                  <c:pt idx="356">
                    <c:v>مجموعی فرعی</c:v>
                  </c:pt>
                  <c:pt idx="357">
                    <c:v>فاریاب </c:v>
                  </c:pt>
                  <c:pt idx="364">
                    <c:v>مجموعی فرعی</c:v>
                  </c:pt>
                  <c:pt idx="365">
                    <c:v>جوزجان</c:v>
                  </c:pt>
                  <c:pt idx="372">
                    <c:v>مجموعی فرعی</c:v>
                  </c:pt>
                  <c:pt idx="373">
                    <c:v>سمنگان</c:v>
                  </c:pt>
                  <c:pt idx="381">
                    <c:v>مجموعی فرعی</c:v>
                  </c:pt>
                  <c:pt idx="382">
                    <c:v>سرپل</c:v>
                  </c:pt>
                  <c:pt idx="389">
                    <c:v>مجموعی فرعی</c:v>
                  </c:pt>
                  <c:pt idx="390">
                    <c:v>پکتیا</c:v>
                  </c:pt>
                  <c:pt idx="397">
                    <c:v>مجموعی فرعی</c:v>
                  </c:pt>
                  <c:pt idx="398">
                    <c:v>غزنی</c:v>
                  </c:pt>
                  <c:pt idx="407">
                    <c:v>مجموعی فرعی</c:v>
                  </c:pt>
                  <c:pt idx="408">
                    <c:v>پکتیکا</c:v>
                  </c:pt>
                  <c:pt idx="415">
                    <c:v>مجموعی فرعی</c:v>
                  </c:pt>
                  <c:pt idx="416">
                    <c:v>خوست </c:v>
                  </c:pt>
                  <c:pt idx="422">
                    <c:v>مجموعی فرعی</c:v>
                  </c:pt>
                  <c:pt idx="423">
                    <c:v>ننگرهار</c:v>
                  </c:pt>
                  <c:pt idx="438">
                    <c:v>مجموعی فرعی</c:v>
                  </c:pt>
                  <c:pt idx="439">
                    <c:v>لغمان </c:v>
                  </c:pt>
                  <c:pt idx="446">
                    <c:v>مجموعی فرعی</c:v>
                  </c:pt>
                  <c:pt idx="447">
                    <c:v>کنر</c:v>
                  </c:pt>
                  <c:pt idx="455">
                    <c:v>مجموعی فرعی</c:v>
                  </c:pt>
                  <c:pt idx="456">
                    <c:v>هرات</c:v>
                  </c:pt>
                  <c:pt idx="463">
                    <c:v>مجموعی فرعی</c:v>
                  </c:pt>
                  <c:pt idx="464">
                    <c:v>فراه</c:v>
                  </c:pt>
                  <c:pt idx="472">
                    <c:v>مجموعی فرعی</c:v>
                  </c:pt>
                  <c:pt idx="473">
                    <c:v>غور </c:v>
                  </c:pt>
                  <c:pt idx="480">
                    <c:v>مجموعی فرعی</c:v>
                  </c:pt>
                  <c:pt idx="481">
                    <c:v>بادغیس </c:v>
                  </c:pt>
                  <c:pt idx="488">
                    <c:v>مجموعی فرعی</c:v>
                  </c:pt>
                  <c:pt idx="489">
                    <c:v>بدخشان </c:v>
                  </c:pt>
                  <c:pt idx="496">
                    <c:v>مجموعی فرعی</c:v>
                  </c:pt>
                  <c:pt idx="497">
                    <c:v>بغلان </c:v>
                  </c:pt>
                  <c:pt idx="504">
                    <c:v>مجموعی فرعی</c:v>
                  </c:pt>
                  <c:pt idx="505">
                    <c:v>تخار</c:v>
                  </c:pt>
                  <c:pt idx="512">
                    <c:v>مجموعی فرعی</c:v>
                  </c:pt>
                  <c:pt idx="513">
                    <c:v>کند هار</c:v>
                  </c:pt>
                  <c:pt idx="519">
                    <c:v>مجموعی فرعی</c:v>
                  </c:pt>
                  <c:pt idx="520">
                    <c:v>هلمند</c:v>
                  </c:pt>
                  <c:pt idx="527">
                    <c:v>مجموعی فرعی</c:v>
                  </c:pt>
                  <c:pt idx="528">
                    <c:v>دایکندی</c:v>
                  </c:pt>
                  <c:pt idx="535">
                    <c:v>مجموعی فرعی</c:v>
                  </c:pt>
                  <c:pt idx="536">
                    <c:v>مجموع بودجه بخش احیای فارم ها و تولید نها</c:v>
                  </c:pt>
                  <c:pt idx="537">
                    <c:v>د :انکشاف ایکوسیستم های با ارزش طبیعی </c:v>
                  </c:pt>
                  <c:pt idx="538">
                    <c:v>ولایات</c:v>
                  </c:pt>
                  <c:pt idx="539">
                    <c:v>بامیان</c:v>
                  </c:pt>
                  <c:pt idx="543">
                    <c:v>مجموع فرعی</c:v>
                  </c:pt>
                  <c:pt idx="544">
                    <c:v>ولایات</c:v>
                  </c:pt>
                  <c:pt idx="545">
                    <c:v>بدخشان</c:v>
                  </c:pt>
                  <c:pt idx="547">
                    <c:v>مجموع فرعی</c:v>
                  </c:pt>
                  <c:pt idx="548">
                    <c:v>ولایات</c:v>
                  </c:pt>
                  <c:pt idx="549">
                    <c:v>کابل </c:v>
                  </c:pt>
                  <c:pt idx="550">
                    <c:v>مجموع فرعی</c:v>
                  </c:pt>
                  <c:pt idx="551">
                    <c:v>مجموع بودجه اکوسیستم های بار ارزش طبیعی </c:v>
                  </c:pt>
                  <c:pt idx="552">
                    <c:v>مصارف متفرقه در مرکز وزارت</c:v>
                  </c:pt>
                  <c:pt idx="553">
                    <c:v>مرکز </c:v>
                  </c:pt>
                  <c:pt idx="554">
                    <c:v>مرکز </c:v>
                  </c:pt>
                  <c:pt idx="555">
                    <c:v>مجموع فرعی</c:v>
                  </c:pt>
                  <c:pt idx="556">
                    <c:v>پلان کاری توحیدی سالانه برنامه ملی تنظیم منابع طبیعی  برای سال 1397</c:v>
                  </c:pt>
                  <c:pt idx="557">
                    <c:v>مقصد مشخص</c:v>
                  </c:pt>
                  <c:pt idx="558">
                    <c:v>الف</c:v>
                  </c:pt>
                  <c:pt idx="559">
                    <c:v>ب</c:v>
                  </c:pt>
                  <c:pt idx="560">
                    <c:v>ج </c:v>
                  </c:pt>
                  <c:pt idx="561">
                    <c:v>د</c:v>
                  </c:pt>
                  <c:pt idx="562">
                    <c:v>مصارف متفرقه</c:v>
                  </c:pt>
                  <c:pt idx="563">
                    <c:v>مجموع عمومی برنامه در سال 1397 به افغانی</c:v>
                  </c:pt>
                  <c:pt idx="564">
                    <c:v>ترتیب کنند گان</c:v>
                  </c:pt>
                  <c:pt idx="565">
                    <c:v>اسم </c:v>
                  </c:pt>
                  <c:pt idx="570">
                    <c:v>                  مرور و چک کننده گان </c:v>
                  </c:pt>
                  <c:pt idx="574">
                    <c:v>                  توحید کننده:</c:v>
                  </c:pt>
                </c:lvl>
              </c:multiLvlStrCache>
            </c:multiLvlStrRef>
          </c:cat>
          <c:val>
            <c:numRef>
              <c:f>'پلان گاری سالانه با نواقص'!$N$1:$N$579</c:f>
              <c:numCache>
                <c:formatCode>General</c:formatCode>
                <c:ptCount val="579"/>
                <c:pt idx="2" formatCode="_(* #,##0_);_(* \(#,##0\);_(* &quot;-&quot;??_);_(@_)">
                  <c:v>0</c:v>
                </c:pt>
                <c:pt idx="4" formatCode="_(* #,##0_);_(* \(#,##0\);_(* &quot;-&quot;??_);_(@_)">
                  <c:v>2880</c:v>
                </c:pt>
                <c:pt idx="5" formatCode="_(* #,##0_);_(* \(#,##0\);_(* &quot;-&quot;??_);_(@_)">
                  <c:v>2881</c:v>
                </c:pt>
                <c:pt idx="6" formatCode="_(* #,##0_);_(* \(#,##0\);_(* &quot;-&quot;??_);_(@_)">
                  <c:v>2882</c:v>
                </c:pt>
                <c:pt idx="7" formatCode="_(* #,##0_);_(* \(#,##0\);_(* &quot;-&quot;??_);_(@_)">
                  <c:v>8643</c:v>
                </c:pt>
                <c:pt idx="8" formatCode="_(* #,##0_);_(* \(#,##0\);_(* &quot;-&quot;??_);_(@_)">
                  <c:v>0</c:v>
                </c:pt>
                <c:pt idx="9" formatCode="_(* #,##0_);_(* \(#,##0\);_(* &quot;-&quot;??_);_(@_)">
                  <c:v>3600</c:v>
                </c:pt>
                <c:pt idx="10" formatCode="_(* #,##0_);_(* \(#,##0\);_(* &quot;-&quot;??_);_(@_)">
                  <c:v>0</c:v>
                </c:pt>
                <c:pt idx="12" formatCode="_(* #,##0_);_(* \(#,##0\);_(* &quot;-&quot;??_);_(@_)">
                  <c:v>3600</c:v>
                </c:pt>
                <c:pt idx="13" formatCode="_(* #,##0_);_(* \(#,##0\);_(* &quot;-&quot;??_);_(@_)">
                  <c:v>0</c:v>
                </c:pt>
                <c:pt idx="14" formatCode="_(* #,##0_);_(* \(#,##0\);_(* &quot;-&quot;??_);_(@_)">
                  <c:v>1440</c:v>
                </c:pt>
                <c:pt idx="15" formatCode="_(* #,##0_);_(* \(#,##0\);_(* &quot;-&quot;??_);_(@_)">
                  <c:v>0</c:v>
                </c:pt>
                <c:pt idx="16" formatCode="_(* #,##0_);_(* \(#,##0\);_(* &quot;-&quot;??_);_(@_)">
                  <c:v>200</c:v>
                </c:pt>
                <c:pt idx="18" formatCode="_(* #,##0_);_(* \(#,##0\);_(* &quot;-&quot;??_);_(@_)">
                  <c:v>1640</c:v>
                </c:pt>
                <c:pt idx="19" formatCode="_(* #,##0_);_(* \(#,##0\);_(* &quot;-&quot;??_);_(@_)">
                  <c:v>0</c:v>
                </c:pt>
                <c:pt idx="20" formatCode="_(* #,##0_);_(* \(#,##0\);_(* &quot;-&quot;??_);_(@_)">
                  <c:v>1440</c:v>
                </c:pt>
                <c:pt idx="21" formatCode="_(* #,##0_);_(* \(#,##0\);_(* &quot;-&quot;??_);_(@_)">
                  <c:v>0</c:v>
                </c:pt>
                <c:pt idx="23" formatCode="_(* #,##0_);_(* \(#,##0\);_(* &quot;-&quot;??_);_(@_)">
                  <c:v>1440</c:v>
                </c:pt>
                <c:pt idx="24" formatCode="_(* #,##0_);_(* \(#,##0\);_(* &quot;-&quot;??_);_(@_)">
                  <c:v>0</c:v>
                </c:pt>
                <c:pt idx="25" formatCode="_(* #,##0_);_(* \(#,##0\);_(* &quot;-&quot;??_);_(@_)">
                  <c:v>2160</c:v>
                </c:pt>
                <c:pt idx="26" formatCode="_(* #,##0_);_(* \(#,##0\);_(* &quot;-&quot;??_);_(@_)">
                  <c:v>0</c:v>
                </c:pt>
                <c:pt idx="28" formatCode="_(* #,##0_);_(* \(#,##0\);_(* &quot;-&quot;??_);_(@_)">
                  <c:v>2160</c:v>
                </c:pt>
                <c:pt idx="29" formatCode="_(* #,##0_);_(* \(#,##0\);_(* &quot;-&quot;??_);_(@_)">
                  <c:v>0</c:v>
                </c:pt>
                <c:pt idx="30" formatCode="_(* #,##0_);_(* \(#,##0\);_(* &quot;-&quot;??_);_(@_)">
                  <c:v>720</c:v>
                </c:pt>
                <c:pt idx="31" formatCode="_(* #,##0_);_(* \(#,##0\);_(* &quot;-&quot;??_);_(@_)">
                  <c:v>0</c:v>
                </c:pt>
                <c:pt idx="32" formatCode="_(* #,##0_);_(* \(#,##0\);_(* &quot;-&quot;??_);_(@_)">
                  <c:v>720</c:v>
                </c:pt>
                <c:pt idx="33" formatCode="_(* #,##0_);_(* \(#,##0\);_(* &quot;-&quot;??_);_(@_)">
                  <c:v>0</c:v>
                </c:pt>
                <c:pt idx="34" formatCode="_(* #,##0_);_(* \(#,##0\);_(* &quot;-&quot;??_);_(@_)">
                  <c:v>360</c:v>
                </c:pt>
                <c:pt idx="35" formatCode="_(* #,##0_);_(* \(#,##0\);_(* &quot;-&quot;??_);_(@_)">
                  <c:v>0</c:v>
                </c:pt>
                <c:pt idx="36" formatCode="_(* #,##0_);_(* \(#,##0\);_(* &quot;-&quot;??_);_(@_)">
                  <c:v>360</c:v>
                </c:pt>
                <c:pt idx="37" formatCode="_(* #,##0_);_(* \(#,##0\);_(* &quot;-&quot;??_);_(@_)">
                  <c:v>0</c:v>
                </c:pt>
                <c:pt idx="38" formatCode="_(* #,##0_);_(* \(#,##0\);_(* &quot;-&quot;??_);_(@_)">
                  <c:v>360</c:v>
                </c:pt>
                <c:pt idx="39" formatCode="_(* #,##0_);_(* \(#,##0\);_(* &quot;-&quot;??_);_(@_)">
                  <c:v>0</c:v>
                </c:pt>
                <c:pt idx="40" formatCode="_(* #,##0_);_(* \(#,##0\);_(* &quot;-&quot;??_);_(@_)">
                  <c:v>360</c:v>
                </c:pt>
                <c:pt idx="41" formatCode="_(* #,##0_);_(* \(#,##0\);_(* &quot;-&quot;??_);_(@_)">
                  <c:v>0</c:v>
                </c:pt>
                <c:pt idx="42" formatCode="_(* #,##0_);_(* \(#,##0\);_(* &quot;-&quot;??_);_(@_)">
                  <c:v>3600</c:v>
                </c:pt>
                <c:pt idx="43" formatCode="_(* #,##0_);_(* \(#,##0\);_(* &quot;-&quot;??_);_(@_)">
                  <c:v>0</c:v>
                </c:pt>
                <c:pt idx="44" formatCode="_(* #,##0_);_(* \(#,##0\);_(* &quot;-&quot;??_);_(@_)">
                  <c:v>200</c:v>
                </c:pt>
                <c:pt idx="46" formatCode="_(* #,##0_);_(* \(#,##0\);_(* &quot;-&quot;??_);_(@_)">
                  <c:v>3800</c:v>
                </c:pt>
                <c:pt idx="47" formatCode="_(* #,##0_);_(* \(#,##0\);_(* &quot;-&quot;??_);_(@_)">
                  <c:v>0</c:v>
                </c:pt>
                <c:pt idx="48" formatCode="_(* #,##0_);_(* \(#,##0\);_(* &quot;-&quot;??_);_(@_)">
                  <c:v>7382</c:v>
                </c:pt>
                <c:pt idx="49" formatCode="_(* #,##0_);_(* \(#,##0\);_(* &quot;-&quot;??_);_(@_)">
                  <c:v>0</c:v>
                </c:pt>
                <c:pt idx="50" formatCode="_(* #,##0_);_(* \(#,##0\);_(* &quot;-&quot;??_);_(@_)">
                  <c:v>0</c:v>
                </c:pt>
                <c:pt idx="51" formatCode="_(* #,##0_);_(* \(#,##0\);_(* &quot;-&quot;??_);_(@_)">
                  <c:v>900</c:v>
                </c:pt>
                <c:pt idx="52" formatCode="_(* #,##0_);_(* \(#,##0\);_(* &quot;-&quot;??_);_(@_)">
                  <c:v>0</c:v>
                </c:pt>
                <c:pt idx="53" formatCode="_(* #,##0_);_(* \(#,##0\);_(* &quot;-&quot;??_);_(@_)">
                  <c:v>8282</c:v>
                </c:pt>
                <c:pt idx="54" formatCode="_(* #,##0_);_(* \(#,##0\);_(* &quot;-&quot;??_);_(@_)">
                  <c:v>0</c:v>
                </c:pt>
                <c:pt idx="55" formatCode="_(* #,##0_);_(* \(#,##0\);_(* &quot;-&quot;??_);_(@_)">
                  <c:v>1440</c:v>
                </c:pt>
                <c:pt idx="56" formatCode="_(* #,##0_);_(* \(#,##0\);_(* &quot;-&quot;??_);_(@_)">
                  <c:v>0</c:v>
                </c:pt>
                <c:pt idx="58" formatCode="_(* #,##0_);_(* \(#,##0\);_(* &quot;-&quot;??_);_(@_)">
                  <c:v>1440</c:v>
                </c:pt>
                <c:pt idx="59" formatCode="_(* #,##0_);_(* \(#,##0\);_(* &quot;-&quot;??_);_(@_)">
                  <c:v>0</c:v>
                </c:pt>
                <c:pt idx="60" formatCode="_(* #,##0_);_(* \(#,##0\);_(* &quot;-&quot;??_);_(@_)">
                  <c:v>2160</c:v>
                </c:pt>
                <c:pt idx="61" formatCode="_(* #,##0_);_(* \(#,##0\);_(* &quot;-&quot;??_);_(@_)">
                  <c:v>0</c:v>
                </c:pt>
                <c:pt idx="63" formatCode="_(* #,##0_);_(* \(#,##0\);_(* &quot;-&quot;??_);_(@_)">
                  <c:v>2160</c:v>
                </c:pt>
                <c:pt idx="64" formatCode="_(* #,##0_);_(* \(#,##0\);_(* &quot;-&quot;??_);_(@_)">
                  <c:v>0</c:v>
                </c:pt>
                <c:pt idx="65" formatCode="_(* #,##0_);_(* \(#,##0\);_(* &quot;-&quot;??_);_(@_)">
                  <c:v>600</c:v>
                </c:pt>
                <c:pt idx="67" formatCode="_(* #,##0_);_(* \(#,##0\);_(* &quot;-&quot;??_);_(@_)">
                  <c:v>600</c:v>
                </c:pt>
                <c:pt idx="68" formatCode="_(* #,##0_);_(* \(#,##0\);_(* &quot;-&quot;??_);_(@_)">
                  <c:v>35205</c:v>
                </c:pt>
                <c:pt idx="70">
                  <c:v>0</c:v>
                </c:pt>
                <c:pt idx="73" formatCode="_(* #,##0_);_(* \(#,##0\);_(* &quot;-&quot;??_);_(@_)">
                  <c:v>0</c:v>
                </c:pt>
                <c:pt idx="76" formatCode="_(* #,##0_);_(* \(#,##0\);_(* &quot;-&quot;??_);_(@_)">
                  <c:v>0</c:v>
                </c:pt>
                <c:pt idx="77" formatCode="_(* #,##0_);_(* \(#,##0\);_(* &quot;-&quot;??_);_(@_)">
                  <c:v>150</c:v>
                </c:pt>
                <c:pt idx="79" formatCode="_(* #,##0_);_(* \(#,##0\);_(* &quot;-&quot;??_);_(@_)">
                  <c:v>400</c:v>
                </c:pt>
                <c:pt idx="80" formatCode="_(* #,##0_);_(* \(#,##0\);_(* &quot;-&quot;??_);_(@_)">
                  <c:v>200</c:v>
                </c:pt>
                <c:pt idx="81" formatCode="_(* #,##0_);_(* \(#,##0\);_(* &quot;-&quot;??_);_(@_)">
                  <c:v>0</c:v>
                </c:pt>
                <c:pt idx="82" formatCode="_(* #,##0_);_(* \(#,##0\);_(* &quot;-&quot;??_);_(@_)">
                  <c:v>0</c:v>
                </c:pt>
                <c:pt idx="83" formatCode="_(* #,##0_);_(* \(#,##0\);_(* &quot;-&quot;??_);_(@_)">
                  <c:v>0</c:v>
                </c:pt>
                <c:pt idx="84" formatCode="_(* #,##0_);_(* \(#,##0\);_(* &quot;-&quot;??_);_(@_)">
                  <c:v>0</c:v>
                </c:pt>
                <c:pt idx="85" formatCode="_(* #,##0_);_(* \(#,##0\);_(* &quot;-&quot;??_);_(@_)">
                  <c:v>750</c:v>
                </c:pt>
                <c:pt idx="86" formatCode="_(* #,##0_);_(* \(#,##0\);_(* &quot;-&quot;??_);_(@_)">
                  <c:v>0</c:v>
                </c:pt>
                <c:pt idx="88" formatCode="_(* #,##0_);_(* \(#,##0\);_(* &quot;-&quot;??_);_(@_)">
                  <c:v>0</c:v>
                </c:pt>
                <c:pt idx="89" formatCode="_(* #,##0_);_(* \(#,##0\);_(* &quot;-&quot;??_);_(@_)">
                  <c:v>0</c:v>
                </c:pt>
                <c:pt idx="91" formatCode="_(* #,##0_);_(* \(#,##0\);_(* &quot;-&quot;??_);_(@_)">
                  <c:v>152</c:v>
                </c:pt>
                <c:pt idx="92" formatCode="_(* #,##0_);_(* \(#,##0\);_(* &quot;-&quot;??_);_(@_)">
                  <c:v>253.33333333333337</c:v>
                </c:pt>
                <c:pt idx="93" formatCode="_(* #,##0_);_(* \(#,##0\);_(* &quot;-&quot;??_);_(@_)">
                  <c:v>660</c:v>
                </c:pt>
                <c:pt idx="94" formatCode="_(* #,##0_);_(* \(#,##0\);_(* &quot;-&quot;??_);_(@_)">
                  <c:v>0</c:v>
                </c:pt>
                <c:pt idx="95" formatCode="_(* #,##0_);_(* \(#,##0\);_(* &quot;-&quot;??_);_(@_)">
                  <c:v>825</c:v>
                </c:pt>
                <c:pt idx="96" formatCode="_(* #,##0_);_(* \(#,##0\);_(* &quot;-&quot;??_);_(@_)">
                  <c:v>825</c:v>
                </c:pt>
                <c:pt idx="97" formatCode="_(* #,##0_);_(* \(#,##0\);_(* &quot;-&quot;??_);_(@_)">
                  <c:v>0</c:v>
                </c:pt>
                <c:pt idx="98" formatCode="_(* #,##0_);_(* \(#,##0\);_(* &quot;-&quot;??_);_(@_)">
                  <c:v>1320</c:v>
                </c:pt>
                <c:pt idx="99" formatCode="_(* #,##0_);_(* \(#,##0\);_(* &quot;-&quot;??_);_(@_)">
                  <c:v>400</c:v>
                </c:pt>
                <c:pt idx="100" formatCode="_(* #,##0_);_(* \(#,##0\);_(* &quot;-&quot;??_);_(@_)">
                  <c:v>0</c:v>
                </c:pt>
                <c:pt idx="101" formatCode="_(* #,##0_);_(* \(#,##0\);_(* &quot;-&quot;??_);_(@_)">
                  <c:v>5</c:v>
                </c:pt>
                <c:pt idx="102" formatCode="_(* #,##0_);_(* \(#,##0\);_(* &quot;-&quot;??_);_(@_)">
                  <c:v>0</c:v>
                </c:pt>
                <c:pt idx="103" formatCode="_(* #,##0_);_(* \(#,##0\);_(* &quot;-&quot;??_);_(@_)">
                  <c:v>200</c:v>
                </c:pt>
                <c:pt idx="104" formatCode="_(* #,##0_);_(* \(#,##0\);_(* &quot;-&quot;??_);_(@_)">
                  <c:v>0</c:v>
                </c:pt>
                <c:pt idx="106" formatCode="_(* #,##0_);_(* \(#,##0\);_(* &quot;-&quot;??_);_(@_)">
                  <c:v>400</c:v>
                </c:pt>
                <c:pt idx="107" formatCode="_(* #,##0_);_(* \(#,##0\);_(* &quot;-&quot;??_);_(@_)">
                  <c:v>200</c:v>
                </c:pt>
                <c:pt idx="108" formatCode="_(* #,##0_);_(* \(#,##0\);_(* &quot;-&quot;??_);_(@_)">
                  <c:v>0</c:v>
                </c:pt>
                <c:pt idx="109" formatCode="_(* #,##0_);_(* \(#,##0\);_(* &quot;-&quot;??_);_(@_)">
                  <c:v>0</c:v>
                </c:pt>
                <c:pt idx="110" formatCode="_(* #,##0_);_(* \(#,##0\);_(* &quot;-&quot;??_);_(@_)">
                  <c:v>0</c:v>
                </c:pt>
                <c:pt idx="111" formatCode="_(* #,##0_);_(* \(#,##0\);_(* &quot;-&quot;??_);_(@_)">
                  <c:v>0</c:v>
                </c:pt>
                <c:pt idx="112" formatCode="_(* #,##0_);_(* \(#,##0\);_(* &quot;-&quot;??_);_(@_)">
                  <c:v>0</c:v>
                </c:pt>
                <c:pt idx="113" formatCode="_(* #,##0_);_(* \(#,##0\);_(* &quot;-&quot;??_);_(@_)">
                  <c:v>5240.3333333333339</c:v>
                </c:pt>
                <c:pt idx="114" formatCode="_(* #,##0_);_(* \(#,##0\);_(* &quot;-&quot;??_);_(@_)">
                  <c:v>0</c:v>
                </c:pt>
                <c:pt idx="116" formatCode="_(* #,##0_);_(* \(#,##0\);_(* &quot;-&quot;??_);_(@_)">
                  <c:v>0</c:v>
                </c:pt>
                <c:pt idx="119" formatCode="_(* #,##0_);_(* \(#,##0\);_(* &quot;-&quot;??_);_(@_)">
                  <c:v>0</c:v>
                </c:pt>
                <c:pt idx="120" formatCode="_(* #,##0_);_(* \(#,##0\);_(* &quot;-&quot;??_);_(@_)">
                  <c:v>250</c:v>
                </c:pt>
                <c:pt idx="122" formatCode="_(* #,##0_);_(* \(#,##0\);_(* &quot;-&quot;??_);_(@_)">
                  <c:v>400</c:v>
                </c:pt>
                <c:pt idx="123" formatCode="_(* #,##0_);_(* \(#,##0\);_(* &quot;-&quot;??_);_(@_)">
                  <c:v>200</c:v>
                </c:pt>
                <c:pt idx="124" formatCode="_(* #,##0_);_(* \(#,##0\);_(* &quot;-&quot;??_);_(@_)">
                  <c:v>0</c:v>
                </c:pt>
                <c:pt idx="125" formatCode="_(* #,##0_);_(* \(#,##0\);_(* &quot;-&quot;??_);_(@_)">
                  <c:v>0</c:v>
                </c:pt>
                <c:pt idx="126" formatCode="_(* #,##0_);_(* \(#,##0\);_(* &quot;-&quot;??_);_(@_)">
                  <c:v>0</c:v>
                </c:pt>
                <c:pt idx="127" formatCode="_(* #,##0_);_(* \(#,##0\);_(* &quot;-&quot;??_);_(@_)">
                  <c:v>0</c:v>
                </c:pt>
                <c:pt idx="128" formatCode="_(* #,##0_);_(* \(#,##0\);_(* &quot;-&quot;??_);_(@_)">
                  <c:v>850</c:v>
                </c:pt>
                <c:pt idx="129" formatCode="_(* #,##0_);_(* \(#,##0\);_(* &quot;-&quot;??_);_(@_)">
                  <c:v>0</c:v>
                </c:pt>
                <c:pt idx="130" formatCode="_(* #,##0_);_(* \(#,##0\);_(* &quot;-&quot;??_);_(@_)">
                  <c:v>0</c:v>
                </c:pt>
                <c:pt idx="132" formatCode="_(* #,##0_);_(* \(#,##0\);_(* &quot;-&quot;??_);_(@_)">
                  <c:v>120</c:v>
                </c:pt>
                <c:pt idx="133" formatCode="_(* #,##0_);_(* \(#,##0\);_(* &quot;-&quot;??_);_(@_)">
                  <c:v>200</c:v>
                </c:pt>
                <c:pt idx="134" formatCode="_(* #,##0_);_(* \(#,##0\);_(* &quot;-&quot;??_);_(@_)">
                  <c:v>500</c:v>
                </c:pt>
                <c:pt idx="135" formatCode="_(* #,##0_);_(* \(#,##0\);_(* &quot;-&quot;??_);_(@_)">
                  <c:v>0</c:v>
                </c:pt>
                <c:pt idx="136" formatCode="_(* #,##0_);_(* \(#,##0\);_(* &quot;-&quot;??_);_(@_)">
                  <c:v>625</c:v>
                </c:pt>
                <c:pt idx="137" formatCode="_(* #,##0_);_(* \(#,##0\);_(* &quot;-&quot;??_);_(@_)">
                  <c:v>625</c:v>
                </c:pt>
                <c:pt idx="138" formatCode="_(* #,##0_);_(* \(#,##0\);_(* &quot;-&quot;??_);_(@_)">
                  <c:v>0</c:v>
                </c:pt>
                <c:pt idx="139" formatCode="_(* #,##0_);_(* \(#,##0\);_(* &quot;-&quot;??_);_(@_)">
                  <c:v>1000</c:v>
                </c:pt>
                <c:pt idx="140" formatCode="_(* #,##0_);_(* \(#,##0\);_(* &quot;-&quot;??_);_(@_)">
                  <c:v>400</c:v>
                </c:pt>
                <c:pt idx="141" formatCode="_(* #,##0_);_(* \(#,##0\);_(* &quot;-&quot;??_);_(@_)">
                  <c:v>0</c:v>
                </c:pt>
                <c:pt idx="142" formatCode="_(* #,##0_);_(* \(#,##0\);_(* &quot;-&quot;??_);_(@_)">
                  <c:v>5</c:v>
                </c:pt>
                <c:pt idx="143" formatCode="_(* #,##0_);_(* \(#,##0\);_(* &quot;-&quot;??_);_(@_)">
                  <c:v>0</c:v>
                </c:pt>
                <c:pt idx="144" formatCode="_(* #,##0_);_(* \(#,##0\);_(* &quot;-&quot;??_);_(@_)">
                  <c:v>200</c:v>
                </c:pt>
                <c:pt idx="145" formatCode="_(* #,##0_);_(* \(#,##0\);_(* &quot;-&quot;??_);_(@_)">
                  <c:v>0</c:v>
                </c:pt>
                <c:pt idx="147" formatCode="_(* #,##0_);_(* \(#,##0\);_(* &quot;-&quot;??_);_(@_)">
                  <c:v>400</c:v>
                </c:pt>
                <c:pt idx="148" formatCode="_(* #,##0_);_(* \(#,##0\);_(* &quot;-&quot;??_);_(@_)">
                  <c:v>200</c:v>
                </c:pt>
                <c:pt idx="149" formatCode="_(* #,##0_);_(* \(#,##0\);_(* &quot;-&quot;??_);_(@_)">
                  <c:v>200</c:v>
                </c:pt>
                <c:pt idx="150" formatCode="_(* #,##0_);_(* \(#,##0\);_(* &quot;-&quot;??_);_(@_)">
                  <c:v>0</c:v>
                </c:pt>
                <c:pt idx="151" formatCode="_(* #,##0_);_(* \(#,##0\);_(* &quot;-&quot;??_);_(@_)">
                  <c:v>0</c:v>
                </c:pt>
                <c:pt idx="152" formatCode="_(* #,##0_);_(* \(#,##0\);_(* &quot;-&quot;??_);_(@_)">
                  <c:v>0</c:v>
                </c:pt>
                <c:pt idx="153" formatCode="_(* #,##0_);_(* \(#,##0\);_(* &quot;-&quot;??_);_(@_)">
                  <c:v>0</c:v>
                </c:pt>
                <c:pt idx="154" formatCode="_(* #,##0_);_(* \(#,##0\);_(* &quot;-&quot;??_);_(@_)">
                  <c:v>0</c:v>
                </c:pt>
                <c:pt idx="155" formatCode="_(* #,##0_);_(* \(#,##0\);_(* &quot;-&quot;??_);_(@_)">
                  <c:v>0</c:v>
                </c:pt>
                <c:pt idx="156" formatCode="_(* #,##0_);_(* \(#,##0\);_(* &quot;-&quot;??_);_(@_)">
                  <c:v>4475</c:v>
                </c:pt>
                <c:pt idx="157" formatCode="_(* #,##0_);_(* \(#,##0\);_(* &quot;-&quot;??_);_(@_)">
                  <c:v>0</c:v>
                </c:pt>
                <c:pt idx="159" formatCode="_(* #,##0_);_(* \(#,##0\);_(* &quot;-&quot;??_);_(@_)">
                  <c:v>0</c:v>
                </c:pt>
                <c:pt idx="162" formatCode="_(* #,##0_);_(* \(#,##0\);_(* &quot;-&quot;??_);_(@_)">
                  <c:v>0</c:v>
                </c:pt>
                <c:pt idx="163" formatCode="_(* #,##0_);_(* \(#,##0\);_(* &quot;-&quot;??_);_(@_)">
                  <c:v>250</c:v>
                </c:pt>
                <c:pt idx="165" formatCode="_(* #,##0_);_(* \(#,##0\);_(* &quot;-&quot;??_);_(@_)">
                  <c:v>800</c:v>
                </c:pt>
                <c:pt idx="166" formatCode="_(* #,##0_);_(* \(#,##0\);_(* &quot;-&quot;??_);_(@_)">
                  <c:v>400</c:v>
                </c:pt>
                <c:pt idx="167" formatCode="_(* #,##0_);_(* \(#,##0\);_(* &quot;-&quot;??_);_(@_)">
                  <c:v>0</c:v>
                </c:pt>
                <c:pt idx="168" formatCode="_(* #,##0_);_(* \(#,##0\);_(* &quot;-&quot;??_);_(@_)">
                  <c:v>0</c:v>
                </c:pt>
                <c:pt idx="169" formatCode="_(* #,##0_);_(* \(#,##0\);_(* &quot;-&quot;??_);_(@_)">
                  <c:v>0</c:v>
                </c:pt>
                <c:pt idx="170" formatCode="_(* #,##0_);_(* \(#,##0\);_(* &quot;-&quot;??_);_(@_)">
                  <c:v>0</c:v>
                </c:pt>
                <c:pt idx="171" formatCode="_(* #,##0_);_(* \(#,##0\);_(* &quot;-&quot;??_);_(@_)">
                  <c:v>1450</c:v>
                </c:pt>
                <c:pt idx="172" formatCode="_(* #,##0_);_(* \(#,##0\);_(* &quot;-&quot;??_);_(@_)">
                  <c:v>0</c:v>
                </c:pt>
                <c:pt idx="173" formatCode="_(* #,##0_);_(* \(#,##0\);_(* &quot;-&quot;??_);_(@_)">
                  <c:v>0</c:v>
                </c:pt>
                <c:pt idx="174" formatCode="_(* #,##0_);_(* \(#,##0\);_(* &quot;-&quot;??_);_(@_)">
                  <c:v>270</c:v>
                </c:pt>
                <c:pt idx="175" formatCode="_(* #,##0_);_(* \(#,##0\);_(* &quot;-&quot;??_);_(@_)">
                  <c:v>360</c:v>
                </c:pt>
                <c:pt idx="176" formatCode="_(* #,##0_);_(* \(#,##0\);_(* &quot;-&quot;??_);_(@_)">
                  <c:v>400</c:v>
                </c:pt>
                <c:pt idx="177" formatCode="_(* #,##0_);_(* \(#,##0\);_(* &quot;-&quot;??_);_(@_)">
                  <c:v>60</c:v>
                </c:pt>
                <c:pt idx="178" formatCode="_(* #,##0_);_(* \(#,##0\);_(* &quot;-&quot;??_);_(@_)">
                  <c:v>0</c:v>
                </c:pt>
                <c:pt idx="179" formatCode="_(* #,##0_);_(* \(#,##0\);_(* &quot;-&quot;??_);_(@_)">
                  <c:v>1090</c:v>
                </c:pt>
                <c:pt idx="180" formatCode="_(* #,##0_);_(* \(#,##0\);_(* &quot;-&quot;??_);_(@_)">
                  <c:v>0</c:v>
                </c:pt>
                <c:pt idx="181" formatCode="_(* #,##0_);_(* \(#,##0\);_(* &quot;-&quot;??_);_(@_)">
                  <c:v>270</c:v>
                </c:pt>
                <c:pt idx="182" formatCode="_(* #,##0_);_(* \(#,##0\);_(* &quot;-&quot;??_);_(@_)">
                  <c:v>360</c:v>
                </c:pt>
                <c:pt idx="183" formatCode="_(* #,##0_);_(* \(#,##0\);_(* &quot;-&quot;??_);_(@_)">
                  <c:v>240</c:v>
                </c:pt>
                <c:pt idx="184" formatCode="_(* #,##0_);_(* \(#,##0\);_(* &quot;-&quot;??_);_(@_)">
                  <c:v>400</c:v>
                </c:pt>
                <c:pt idx="185" formatCode="_(* #,##0_);_(* \(#,##0\);_(* &quot;-&quot;??_);_(@_)">
                  <c:v>0</c:v>
                </c:pt>
                <c:pt idx="186" formatCode="_(* #,##0_);_(* \(#,##0\);_(* &quot;-&quot;??_);_(@_)">
                  <c:v>1270</c:v>
                </c:pt>
                <c:pt idx="187" formatCode="_(* #,##0_);_(* \(#,##0\);_(* &quot;-&quot;??_);_(@_)">
                  <c:v>0</c:v>
                </c:pt>
                <c:pt idx="188" formatCode="_(* #,##0_);_(* \(#,##0\);_(* &quot;-&quot;??_);_(@_)">
                  <c:v>270</c:v>
                </c:pt>
                <c:pt idx="189" formatCode="_(* #,##0_);_(* \(#,##0\);_(* &quot;-&quot;??_);_(@_)">
                  <c:v>360</c:v>
                </c:pt>
                <c:pt idx="191" formatCode="_(* #,##0_);_(* \(#,##0\);_(* &quot;-&quot;??_);_(@_)">
                  <c:v>20</c:v>
                </c:pt>
                <c:pt idx="193" formatCode="_(* #,##0_);_(* \(#,##0\);_(* &quot;-&quot;??_);_(@_)">
                  <c:v>120</c:v>
                </c:pt>
                <c:pt idx="194" formatCode="_(* #,##0_);_(* \(#,##0\);_(* &quot;-&quot;??_);_(@_)">
                  <c:v>200</c:v>
                </c:pt>
                <c:pt idx="195" formatCode="_(* #,##0_);_(* \(#,##0\);_(* &quot;-&quot;??_);_(@_)">
                  <c:v>500</c:v>
                </c:pt>
                <c:pt idx="196" formatCode="_(* #,##0_);_(* \(#,##0\);_(* &quot;-&quot;??_);_(@_)">
                  <c:v>0</c:v>
                </c:pt>
                <c:pt idx="197" formatCode="_(* #,##0_);_(* \(#,##0\);_(* &quot;-&quot;??_);_(@_)">
                  <c:v>625</c:v>
                </c:pt>
                <c:pt idx="198" formatCode="_(* #,##0_);_(* \(#,##0\);_(* &quot;-&quot;??_);_(@_)">
                  <c:v>625</c:v>
                </c:pt>
                <c:pt idx="199" formatCode="_(* #,##0_);_(* \(#,##0\);_(* &quot;-&quot;??_);_(@_)">
                  <c:v>0</c:v>
                </c:pt>
                <c:pt idx="200" formatCode="_(* #,##0_);_(* \(#,##0\);_(* &quot;-&quot;??_);_(@_)">
                  <c:v>1000</c:v>
                </c:pt>
                <c:pt idx="201" formatCode="_(* #,##0_);_(* \(#,##0\);_(* &quot;-&quot;??_);_(@_)">
                  <c:v>400</c:v>
                </c:pt>
                <c:pt idx="202" formatCode="_(* #,##0_);_(* \(#,##0\);_(* &quot;-&quot;??_);_(@_)">
                  <c:v>0</c:v>
                </c:pt>
                <c:pt idx="203" formatCode="_(* #,##0_);_(* \(#,##0\);_(* &quot;-&quot;??_);_(@_)">
                  <c:v>5</c:v>
                </c:pt>
                <c:pt idx="204" formatCode="_(* #,##0_);_(* \(#,##0\);_(* &quot;-&quot;??_);_(@_)">
                  <c:v>0</c:v>
                </c:pt>
                <c:pt idx="205" formatCode="_(* #,##0_);_(* \(#,##0\);_(* &quot;-&quot;??_);_(@_)">
                  <c:v>200</c:v>
                </c:pt>
                <c:pt idx="206" formatCode="_(* #,##0_);_(* \(#,##0\);_(* &quot;-&quot;??_);_(@_)">
                  <c:v>60</c:v>
                </c:pt>
                <c:pt idx="208" formatCode="_(* #,##0_);_(* \(#,##0\);_(* &quot;-&quot;??_);_(@_)">
                  <c:v>400</c:v>
                </c:pt>
                <c:pt idx="209" formatCode="_(* #,##0_);_(* \(#,##0\);_(* &quot;-&quot;??_);_(@_)">
                  <c:v>0</c:v>
                </c:pt>
                <c:pt idx="210" formatCode="_(* #,##0_);_(* \(#,##0\);_(* &quot;-&quot;??_);_(@_)">
                  <c:v>200</c:v>
                </c:pt>
                <c:pt idx="211" formatCode="_(* #,##0_);_(* \(#,##0\);_(* &quot;-&quot;??_);_(@_)">
                  <c:v>0</c:v>
                </c:pt>
                <c:pt idx="212" formatCode="_(* #,##0_);_(* \(#,##0\);_(* &quot;-&quot;??_);_(@_)">
                  <c:v>0</c:v>
                </c:pt>
                <c:pt idx="213" formatCode="_(* #,##0_);_(* \(#,##0\);_(* &quot;-&quot;??_);_(@_)">
                  <c:v>0</c:v>
                </c:pt>
                <c:pt idx="214" formatCode="_(* #,##0_);_(* \(#,##0\);_(* &quot;-&quot;??_);_(@_)">
                  <c:v>0</c:v>
                </c:pt>
                <c:pt idx="215" formatCode="_(* #,##0_);_(* \(#,##0\);_(* &quot;-&quot;??_);_(@_)">
                  <c:v>4985</c:v>
                </c:pt>
                <c:pt idx="216" formatCode="_(* #,##0_);_(* \(#,##0\);_(* &quot;-&quot;??_);_(@_)">
                  <c:v>0</c:v>
                </c:pt>
                <c:pt idx="217" formatCode="_(* #,##0_);_(* \(#,##0\);_(* &quot;-&quot;??_);_(@_)">
                  <c:v>360</c:v>
                </c:pt>
                <c:pt idx="220" formatCode="_(* #,##0_);_(* \(#,##0\);_(* &quot;-&quot;??_);_(@_)">
                  <c:v>120</c:v>
                </c:pt>
                <c:pt idx="221" formatCode="_(* #,##0_);_(* \(#,##0\);_(* &quot;-&quot;??_);_(@_)">
                  <c:v>200</c:v>
                </c:pt>
                <c:pt idx="222" formatCode="_(* #,##0_);_(* \(#,##0\);_(* &quot;-&quot;??_);_(@_)">
                  <c:v>500</c:v>
                </c:pt>
                <c:pt idx="223" formatCode="_(* #,##0_);_(* \(#,##0\);_(* &quot;-&quot;??_);_(@_)">
                  <c:v>0</c:v>
                </c:pt>
                <c:pt idx="224" formatCode="_(* #,##0_);_(* \(#,##0\);_(* &quot;-&quot;??_);_(@_)">
                  <c:v>625</c:v>
                </c:pt>
                <c:pt idx="225" formatCode="_(* #,##0_);_(* \(#,##0\);_(* &quot;-&quot;??_);_(@_)">
                  <c:v>625</c:v>
                </c:pt>
                <c:pt idx="226" formatCode="_(* #,##0_);_(* \(#,##0\);_(* &quot;-&quot;??_);_(@_)">
                  <c:v>0</c:v>
                </c:pt>
                <c:pt idx="227" formatCode="_(* #,##0_);_(* \(#,##0\);_(* &quot;-&quot;??_);_(@_)">
                  <c:v>1000</c:v>
                </c:pt>
                <c:pt idx="228" formatCode="_(* #,##0_);_(* \(#,##0\);_(* &quot;-&quot;??_);_(@_)">
                  <c:v>400</c:v>
                </c:pt>
                <c:pt idx="229" formatCode="_(* #,##0_);_(* \(#,##0\);_(* &quot;-&quot;??_);_(@_)">
                  <c:v>0</c:v>
                </c:pt>
                <c:pt idx="230" formatCode="_(* #,##0_);_(* \(#,##0\);_(* &quot;-&quot;??_);_(@_)">
                  <c:v>5</c:v>
                </c:pt>
                <c:pt idx="231" formatCode="_(* #,##0_);_(* \(#,##0\);_(* &quot;-&quot;??_);_(@_)">
                  <c:v>0</c:v>
                </c:pt>
                <c:pt idx="232" formatCode="_(* #,##0_);_(* \(#,##0\);_(* &quot;-&quot;??_);_(@_)">
                  <c:v>200</c:v>
                </c:pt>
                <c:pt idx="233" formatCode="_(* #,##0_);_(* \(#,##0\);_(* &quot;-&quot;??_);_(@_)">
                  <c:v>60</c:v>
                </c:pt>
                <c:pt idx="234" formatCode="_(* #,##0_);_(* \(#,##0\);_(* &quot;-&quot;??_);_(@_)">
                  <c:v>0</c:v>
                </c:pt>
                <c:pt idx="235" formatCode="_(* #,##0_);_(* \(#,##0\);_(* &quot;-&quot;??_);_(@_)">
                  <c:v>0</c:v>
                </c:pt>
                <c:pt idx="236" formatCode="_(* #,##0_);_(* \(#,##0\);_(* &quot;-&quot;??_);_(@_)">
                  <c:v>4095</c:v>
                </c:pt>
                <c:pt idx="237" formatCode="_(* #,##0_);_(* \(#,##0\);_(* &quot;-&quot;??_);_(@_)">
                  <c:v>0</c:v>
                </c:pt>
                <c:pt idx="239" formatCode="_(* #,##0_);_(* \(#,##0\);_(* &quot;-&quot;??_);_(@_)">
                  <c:v>20</c:v>
                </c:pt>
                <c:pt idx="241" formatCode="_(* #,##0_);_(* \(#,##0\);_(* &quot;-&quot;??_);_(@_)">
                  <c:v>0</c:v>
                </c:pt>
                <c:pt idx="242" formatCode="_(* #,##0_);_(* \(#,##0\);_(* &quot;-&quot;??_);_(@_)">
                  <c:v>250</c:v>
                </c:pt>
                <c:pt idx="243" formatCode="_(* #,##0_);_(* \(#,##0\);_(* &quot;-&quot;??_);_(@_)">
                  <c:v>0</c:v>
                </c:pt>
                <c:pt idx="244" formatCode="_(* #,##0_);_(* \(#,##0\);_(* &quot;-&quot;??_);_(@_)">
                  <c:v>270</c:v>
                </c:pt>
                <c:pt idx="245" formatCode="_(* #,##0_);_(* \(#,##0\);_(* &quot;-&quot;??_);_(@_)">
                  <c:v>0</c:v>
                </c:pt>
                <c:pt idx="247" formatCode="_(* #,##0_);_(* \(#,##0\);_(* &quot;-&quot;??_);_(@_)">
                  <c:v>20</c:v>
                </c:pt>
                <c:pt idx="249" formatCode="_(* #,##0_);_(* \(#,##0\);_(* &quot;-&quot;??_);_(@_)">
                  <c:v>0</c:v>
                </c:pt>
                <c:pt idx="250" formatCode="_(* #,##0_);_(* \(#,##0\);_(* &quot;-&quot;??_);_(@_)">
                  <c:v>250</c:v>
                </c:pt>
                <c:pt idx="251" formatCode="_(* #,##0_);_(* \(#,##0\);_(* &quot;-&quot;??_);_(@_)">
                  <c:v>0</c:v>
                </c:pt>
                <c:pt idx="252" formatCode="_(* #,##0_);_(* \(#,##0\);_(* &quot;-&quot;??_);_(@_)">
                  <c:v>250</c:v>
                </c:pt>
                <c:pt idx="253" formatCode="_(* #,##0_);_(* \(#,##0\);_(* &quot;-&quot;??_);_(@_)">
                  <c:v>0</c:v>
                </c:pt>
                <c:pt idx="255" formatCode="_(* #,##0_);_(* \(#,##0\);_(* &quot;-&quot;??_);_(@_)">
                  <c:v>20</c:v>
                </c:pt>
                <c:pt idx="258" formatCode="_(* #,##0_);_(* \(#,##0\);_(* &quot;-&quot;??_);_(@_)">
                  <c:v>250</c:v>
                </c:pt>
                <c:pt idx="259" formatCode="_(* #,##0_);_(* \(#,##0\);_(* &quot;-&quot;??_);_(@_)">
                  <c:v>0</c:v>
                </c:pt>
                <c:pt idx="260" formatCode="_(* #,##0_);_(* \(#,##0\);_(* &quot;-&quot;??_);_(@_)">
                  <c:v>270</c:v>
                </c:pt>
                <c:pt idx="261" formatCode="_(* #,##0_);_(* \(#,##0\);_(* &quot;-&quot;??_);_(@_)">
                  <c:v>0</c:v>
                </c:pt>
                <c:pt idx="263" formatCode="_(* #,##0_);_(* \(#,##0\);_(* &quot;-&quot;??_);_(@_)">
                  <c:v>20</c:v>
                </c:pt>
                <c:pt idx="265" formatCode="_(* #,##0_);_(* \(#,##0\);_(* &quot;-&quot;??_);_(@_)">
                  <c:v>0</c:v>
                </c:pt>
                <c:pt idx="266" formatCode="_(* #,##0_);_(* \(#,##0\);_(* &quot;-&quot;??_);_(@_)">
                  <c:v>250</c:v>
                </c:pt>
                <c:pt idx="267" formatCode="_(* #,##0_);_(* \(#,##0\);_(* &quot;-&quot;??_);_(@_)">
                  <c:v>0</c:v>
                </c:pt>
                <c:pt idx="268" formatCode="_(* #,##0_);_(* \(#,##0\);_(* &quot;-&quot;??_);_(@_)">
                  <c:v>270</c:v>
                </c:pt>
                <c:pt idx="269" formatCode="_(* #,##0_);_(* \(#,##0\);_(* &quot;-&quot;??_);_(@_)">
                  <c:v>0</c:v>
                </c:pt>
                <c:pt idx="271" formatCode="_(* #,##0_);_(* \(#,##0\);_(* &quot;-&quot;??_);_(@_)">
                  <c:v>20</c:v>
                </c:pt>
                <c:pt idx="273" formatCode="_(* #,##0_);_(* \(#,##0\);_(* &quot;-&quot;??_);_(@_)">
                  <c:v>0</c:v>
                </c:pt>
                <c:pt idx="274" formatCode="_(* #,##0_);_(* \(#,##0\);_(* &quot;-&quot;??_);_(@_)">
                  <c:v>250</c:v>
                </c:pt>
                <c:pt idx="276" formatCode="_(* #,##0_);_(* \(#,##0\);_(* &quot;-&quot;??_);_(@_)">
                  <c:v>800</c:v>
                </c:pt>
                <c:pt idx="277" formatCode="_(* #,##0_);_(* \(#,##0\);_(* &quot;-&quot;??_);_(@_)">
                  <c:v>400</c:v>
                </c:pt>
                <c:pt idx="278" formatCode="_(* #,##0_);_(* \(#,##0\);_(* &quot;-&quot;??_);_(@_)">
                  <c:v>0</c:v>
                </c:pt>
                <c:pt idx="279" formatCode="_(* #,##0_);_(* \(#,##0\);_(* &quot;-&quot;??_);_(@_)">
                  <c:v>0</c:v>
                </c:pt>
                <c:pt idx="280" formatCode="_(* #,##0_);_(* \(#,##0\);_(* &quot;-&quot;??_);_(@_)">
                  <c:v>0</c:v>
                </c:pt>
                <c:pt idx="281" formatCode="_(* #,##0_);_(* \(#,##0\);_(* &quot;-&quot;??_);_(@_)">
                  <c:v>0</c:v>
                </c:pt>
                <c:pt idx="282" formatCode="_(* #,##0_);_(* \(#,##0\);_(* &quot;-&quot;??_);_(@_)">
                  <c:v>1470</c:v>
                </c:pt>
                <c:pt idx="283" formatCode="_(* #,##0_);_(* \(#,##0\);_(* &quot;-&quot;??_);_(@_)">
                  <c:v>0</c:v>
                </c:pt>
                <c:pt idx="285" formatCode="_(* #,##0_);_(* \(#,##0\);_(* &quot;-&quot;??_);_(@_)">
                  <c:v>20</c:v>
                </c:pt>
                <c:pt idx="287" formatCode="_(* #,##0_);_(* \(#,##0\);_(* &quot;-&quot;??_);_(@_)">
                  <c:v>0</c:v>
                </c:pt>
                <c:pt idx="288" formatCode="_(* #,##0_);_(* \(#,##0\);_(* &quot;-&quot;??_);_(@_)">
                  <c:v>250</c:v>
                </c:pt>
                <c:pt idx="290" formatCode="_(* #,##0_);_(* \(#,##0\);_(* &quot;-&quot;??_);_(@_)">
                  <c:v>400</c:v>
                </c:pt>
                <c:pt idx="291" formatCode="_(* #,##0_);_(* \(#,##0\);_(* &quot;-&quot;??_);_(@_)">
                  <c:v>200</c:v>
                </c:pt>
                <c:pt idx="292" formatCode="_(* #,##0_);_(* \(#,##0\);_(* &quot;-&quot;??_);_(@_)">
                  <c:v>0</c:v>
                </c:pt>
                <c:pt idx="293" formatCode="_(* #,##0_);_(* \(#,##0\);_(* &quot;-&quot;??_);_(@_)">
                  <c:v>0</c:v>
                </c:pt>
                <c:pt idx="294" formatCode="_(* #,##0_);_(* \(#,##0\);_(* &quot;-&quot;??_);_(@_)">
                  <c:v>0</c:v>
                </c:pt>
                <c:pt idx="295" formatCode="_(* #,##0_);_(* \(#,##0\);_(* &quot;-&quot;??_);_(@_)">
                  <c:v>0</c:v>
                </c:pt>
                <c:pt idx="296" formatCode="_(* #,##0_);_(* \(#,##0\);_(* &quot;-&quot;??_);_(@_)">
                  <c:v>870</c:v>
                </c:pt>
                <c:pt idx="297" formatCode="_(* #,##0_);_(* \(#,##0\);_(* &quot;-&quot;??_);_(@_)">
                  <c:v>690</c:v>
                </c:pt>
                <c:pt idx="299" formatCode="_(* #,##0_);_(* \(#,##0\);_(* &quot;-&quot;??_);_(@_)">
                  <c:v>690</c:v>
                </c:pt>
                <c:pt idx="300" formatCode="_(* #,##0_);_(* \(#,##0\);_(* &quot;-&quot;??_);_(@_)">
                  <c:v>28295.333333333336</c:v>
                </c:pt>
                <c:pt idx="302" formatCode="_(* #,##0_);_(* \(#,##0\);_(* &quot;-&quot;??_);_(@_)">
                  <c:v>0</c:v>
                </c:pt>
                <c:pt idx="303" formatCode="_(* #,##0_);_(* \(#,##0\);_(* &quot;-&quot;??_);_(@_)">
                  <c:v>25</c:v>
                </c:pt>
                <c:pt idx="304" formatCode="_(* #,##0_);_(* \(#,##0\);_(* &quot;-&quot;??_);_(@_)">
                  <c:v>100</c:v>
                </c:pt>
                <c:pt idx="305" formatCode="_(* #,##0_);_(* \(#,##0\);_(* &quot;-&quot;??_);_(@_)">
                  <c:v>7.18</c:v>
                </c:pt>
                <c:pt idx="306" formatCode="_(* #,##0_);_(* \(#,##0\);_(* &quot;-&quot;??_);_(@_)">
                  <c:v>40</c:v>
                </c:pt>
                <c:pt idx="307" formatCode="_(* #,##0_);_(* \(#,##0\);_(* &quot;-&quot;??_);_(@_)">
                  <c:v>50</c:v>
                </c:pt>
                <c:pt idx="308" formatCode="_(* #,##0_);_(* \(#,##0\);_(* &quot;-&quot;??_);_(@_)">
                  <c:v>10</c:v>
                </c:pt>
                <c:pt idx="309" formatCode="_(* #,##0_);_(* \(#,##0\);_(* &quot;-&quot;??_);_(@_)">
                  <c:v>0</c:v>
                </c:pt>
                <c:pt idx="310" formatCode="_(* #,##0_);_(* \(#,##0\);_(* &quot;-&quot;??_);_(@_)">
                  <c:v>232.18</c:v>
                </c:pt>
                <c:pt idx="311" formatCode="_(* #,##0_);_(* \(#,##0\);_(* &quot;-&quot;??_);_(@_)">
                  <c:v>125</c:v>
                </c:pt>
                <c:pt idx="312" formatCode="_(* #,##0_);_(* \(#,##0\);_(* &quot;-&quot;??_);_(@_)">
                  <c:v>100</c:v>
                </c:pt>
                <c:pt idx="313" formatCode="_(* #,##0_);_(* \(#,##0\);_(* &quot;-&quot;??_);_(@_)">
                  <c:v>6.25</c:v>
                </c:pt>
                <c:pt idx="314" formatCode="_(* #,##0_);_(* \(#,##0\);_(* &quot;-&quot;??_);_(@_)">
                  <c:v>22</c:v>
                </c:pt>
                <c:pt idx="315" formatCode="_(* #,##0_);_(* \(#,##0\);_(* &quot;-&quot;??_);_(@_)">
                  <c:v>50</c:v>
                </c:pt>
                <c:pt idx="316" formatCode="_(* #,##0_);_(* \(#,##0\);_(* &quot;-&quot;??_);_(@_)">
                  <c:v>10</c:v>
                </c:pt>
                <c:pt idx="317" formatCode="_(* #,##0_);_(* \(#,##0\);_(* &quot;-&quot;??_);_(@_)">
                  <c:v>0</c:v>
                </c:pt>
                <c:pt idx="318" formatCode="_(* #,##0_);_(* \(#,##0\);_(* &quot;-&quot;??_);_(@_)">
                  <c:v>313.25</c:v>
                </c:pt>
                <c:pt idx="319" formatCode="_(* #,##0_);_(* \(#,##0\);_(* &quot;-&quot;??_);_(@_)">
                  <c:v>125</c:v>
                </c:pt>
                <c:pt idx="320" formatCode="_(* #,##0_);_(* \(#,##0\);_(* &quot;-&quot;??_);_(@_)">
                  <c:v>10</c:v>
                </c:pt>
                <c:pt idx="321" formatCode="_(* #,##0_);_(* \(#,##0\);_(* &quot;-&quot;??_);_(@_)">
                  <c:v>100</c:v>
                </c:pt>
                <c:pt idx="322" formatCode="_(* #,##0_);_(* \(#,##0\);_(* &quot;-&quot;??_);_(@_)">
                  <c:v>7.5</c:v>
                </c:pt>
                <c:pt idx="323" formatCode="_(* #,##0_);_(* \(#,##0\);_(* &quot;-&quot;??_);_(@_)">
                  <c:v>40</c:v>
                </c:pt>
                <c:pt idx="324" formatCode="_(* #,##0_);_(* \(#,##0\);_(* &quot;-&quot;??_);_(@_)">
                  <c:v>50</c:v>
                </c:pt>
                <c:pt idx="325" formatCode="_(* #,##0_);_(* \(#,##0\);_(* &quot;-&quot;??_);_(@_)">
                  <c:v>0</c:v>
                </c:pt>
                <c:pt idx="326" formatCode="_(* #,##0_);_(* \(#,##0\);_(* &quot;-&quot;??_);_(@_)">
                  <c:v>332.5</c:v>
                </c:pt>
                <c:pt idx="327" formatCode="_(* #,##0_);_(* \(#,##0\);_(* &quot;-&quot;??_);_(@_)">
                  <c:v>750</c:v>
                </c:pt>
                <c:pt idx="328" formatCode="_(* #,##0_);_(* \(#,##0\);_(* &quot;-&quot;??_);_(@_)">
                  <c:v>50</c:v>
                </c:pt>
                <c:pt idx="329" formatCode="_(* #,##0_);_(* \(#,##0\);_(* &quot;-&quot;??_);_(@_)">
                  <c:v>12.5</c:v>
                </c:pt>
                <c:pt idx="330" formatCode="_(* #,##0_);_(* \(#,##0\);_(* &quot;-&quot;??_);_(@_)">
                  <c:v>20</c:v>
                </c:pt>
                <c:pt idx="331" formatCode="_(* #,##0_);_(* \(#,##0\);_(* &quot;-&quot;??_);_(@_)">
                  <c:v>0</c:v>
                </c:pt>
                <c:pt idx="332" formatCode="_(* #,##0_);_(* \(#,##0\);_(* &quot;-&quot;??_);_(@_)">
                  <c:v>6791.0587500000001</c:v>
                </c:pt>
                <c:pt idx="333" formatCode="_(* #,##0_);_(* \(#,##0\);_(* &quot;-&quot;??_);_(@_)">
                  <c:v>7623.5587500000001</c:v>
                </c:pt>
                <c:pt idx="334" formatCode="_(* #,##0_);_(* \(#,##0\);_(* &quot;-&quot;??_);_(@_)">
                  <c:v>100</c:v>
                </c:pt>
                <c:pt idx="335" formatCode="_(* #,##0_);_(* \(#,##0\);_(* &quot;-&quot;??_);_(@_)">
                  <c:v>10</c:v>
                </c:pt>
                <c:pt idx="336" formatCode="_(* #,##0_);_(* \(#,##0\);_(* &quot;-&quot;??_);_(@_)">
                  <c:v>100</c:v>
                </c:pt>
                <c:pt idx="337" formatCode="_(* #,##0_);_(* \(#,##0\);_(* &quot;-&quot;??_);_(@_)">
                  <c:v>6.25</c:v>
                </c:pt>
                <c:pt idx="338" formatCode="_(* #,##0_);_(* \(#,##0\);_(* &quot;-&quot;??_);_(@_)">
                  <c:v>24</c:v>
                </c:pt>
                <c:pt idx="339" formatCode="_(* #,##0_);_(* \(#,##0\);_(* &quot;-&quot;??_);_(@_)">
                  <c:v>0</c:v>
                </c:pt>
                <c:pt idx="340" formatCode="_(* #,##0_);_(* \(#,##0\);_(* &quot;-&quot;??_);_(@_)">
                  <c:v>781.25</c:v>
                </c:pt>
                <c:pt idx="341" formatCode="_(* #,##0_);_(* \(#,##0\);_(* &quot;-&quot;??_);_(@_)">
                  <c:v>1021.5</c:v>
                </c:pt>
                <c:pt idx="342" formatCode="_(* #,##0_);_(* \(#,##0\);_(* &quot;-&quot;??_);_(@_)">
                  <c:v>100</c:v>
                </c:pt>
                <c:pt idx="343" formatCode="_(* #,##0_);_(* \(#,##0\);_(* &quot;-&quot;??_);_(@_)">
                  <c:v>133.33333333333334</c:v>
                </c:pt>
                <c:pt idx="344" formatCode="_(* #,##0_);_(* \(#,##0\);_(* &quot;-&quot;??_);_(@_)">
                  <c:v>6.25</c:v>
                </c:pt>
                <c:pt idx="345" formatCode="_(* #,##0_);_(* \(#,##0\);_(* &quot;-&quot;??_);_(@_)">
                  <c:v>24</c:v>
                </c:pt>
                <c:pt idx="346" formatCode="_(* #,##0_);_(* \(#,##0\);_(* &quot;-&quot;??_);_(@_)">
                  <c:v>0</c:v>
                </c:pt>
                <c:pt idx="347" formatCode="_(* #,##0_);_(* \(#,##0\);_(* &quot;-&quot;??_);_(@_)">
                  <c:v>263.58333333333337</c:v>
                </c:pt>
                <c:pt idx="348" formatCode="_(* #,##0_);_(* \(#,##0\);_(* &quot;-&quot;??_);_(@_)">
                  <c:v>375</c:v>
                </c:pt>
                <c:pt idx="349" formatCode="_(* #,##0_);_(* \(#,##0\);_(* &quot;-&quot;??_);_(@_)">
                  <c:v>20</c:v>
                </c:pt>
                <c:pt idx="350" formatCode="_(* #,##0_);_(* \(#,##0\);_(* &quot;-&quot;??_);_(@_)">
                  <c:v>66.666666666666671</c:v>
                </c:pt>
                <c:pt idx="351" formatCode="_(* #,##0_);_(* \(#,##0\);_(* &quot;-&quot;??_);_(@_)">
                  <c:v>233.33333333333334</c:v>
                </c:pt>
                <c:pt idx="352" formatCode="_(* #,##0_);_(* \(#,##0\);_(* &quot;-&quot;??_);_(@_)">
                  <c:v>7.5</c:v>
                </c:pt>
                <c:pt idx="353" formatCode="_(* #,##0_);_(* \(#,##0\);_(* &quot;-&quot;??_);_(@_)">
                  <c:v>40</c:v>
                </c:pt>
                <c:pt idx="354" formatCode="_(* #,##0_);_(* \(#,##0\);_(* &quot;-&quot;??_);_(@_)">
                  <c:v>50</c:v>
                </c:pt>
                <c:pt idx="355" formatCode="_(* #,##0_);_(* \(#,##0\);_(* &quot;-&quot;??_);_(@_)">
                  <c:v>0</c:v>
                </c:pt>
                <c:pt idx="356" formatCode="_(* #,##0_);_(* \(#,##0\);_(* &quot;-&quot;??_);_(@_)">
                  <c:v>792.5</c:v>
                </c:pt>
                <c:pt idx="357" formatCode="_(* #,##0_);_(* \(#,##0\);_(* &quot;-&quot;??_);_(@_)">
                  <c:v>75</c:v>
                </c:pt>
                <c:pt idx="358" formatCode="_(* #,##0_);_(* \(#,##0\);_(* &quot;-&quot;??_);_(@_)">
                  <c:v>66.666666666666671</c:v>
                </c:pt>
                <c:pt idx="359" formatCode="_(* #,##0_);_(* \(#,##0\);_(* &quot;-&quot;??_);_(@_)">
                  <c:v>7.5</c:v>
                </c:pt>
                <c:pt idx="360" formatCode="_(* #,##0_);_(* \(#,##0\);_(* &quot;-&quot;??_);_(@_)">
                  <c:v>30</c:v>
                </c:pt>
                <c:pt idx="361" formatCode="_(* #,##0_);_(* \(#,##0\);_(* &quot;-&quot;??_);_(@_)">
                  <c:v>10</c:v>
                </c:pt>
                <c:pt idx="362" formatCode="_(* #,##0_);_(* \(#,##0\);_(* &quot;-&quot;??_);_(@_)">
                  <c:v>0</c:v>
                </c:pt>
                <c:pt idx="363" formatCode="_(* #,##0_);_(* \(#,##0\);_(* &quot;-&quot;??_);_(@_)">
                  <c:v>0</c:v>
                </c:pt>
                <c:pt idx="364" formatCode="_(* #,##0_);_(* \(#,##0\);_(* &quot;-&quot;??_);_(@_)">
                  <c:v>189.16666666666669</c:v>
                </c:pt>
                <c:pt idx="365" formatCode="_(* #,##0_);_(* \(#,##0\);_(* &quot;-&quot;??_);_(@_)">
                  <c:v>125</c:v>
                </c:pt>
                <c:pt idx="366" formatCode="_(* #,##0_);_(* \(#,##0\);_(* &quot;-&quot;??_);_(@_)">
                  <c:v>10</c:v>
                </c:pt>
                <c:pt idx="367" formatCode="_(* #,##0_);_(* \(#,##0\);_(* &quot;-&quot;??_);_(@_)">
                  <c:v>600</c:v>
                </c:pt>
                <c:pt idx="368" formatCode="_(* #,##0_);_(* \(#,##0\);_(* &quot;-&quot;??_);_(@_)">
                  <c:v>7.5</c:v>
                </c:pt>
                <c:pt idx="369" formatCode="_(* #,##0_);_(* \(#,##0\);_(* &quot;-&quot;??_);_(@_)">
                  <c:v>30</c:v>
                </c:pt>
                <c:pt idx="370" formatCode="_(* #,##0_);_(* \(#,##0\);_(* &quot;-&quot;??_);_(@_)">
                  <c:v>50</c:v>
                </c:pt>
                <c:pt idx="371" formatCode="_(* #,##0_);_(* \(#,##0\);_(* &quot;-&quot;??_);_(@_)">
                  <c:v>0</c:v>
                </c:pt>
                <c:pt idx="372" formatCode="_(* #,##0_);_(* \(#,##0\);_(* &quot;-&quot;??_);_(@_)">
                  <c:v>822.5</c:v>
                </c:pt>
                <c:pt idx="373" formatCode="_(* #,##0_);_(* \(#,##0\);_(* &quot;-&quot;??_);_(@_)">
                  <c:v>150</c:v>
                </c:pt>
                <c:pt idx="374" formatCode="_(* #,##0_);_(* \(#,##0\);_(* &quot;-&quot;??_);_(@_)">
                  <c:v>10</c:v>
                </c:pt>
                <c:pt idx="375" formatCode="_(* #,##0_);_(* \(#,##0\);_(* &quot;-&quot;??_);_(@_)">
                  <c:v>66.666666666666671</c:v>
                </c:pt>
                <c:pt idx="376" formatCode="_(* #,##0_);_(* \(#,##0\);_(* &quot;-&quot;??_);_(@_)">
                  <c:v>500</c:v>
                </c:pt>
                <c:pt idx="377" formatCode="_(* #,##0_);_(* \(#,##0\);_(* &quot;-&quot;??_);_(@_)">
                  <c:v>7.5</c:v>
                </c:pt>
                <c:pt idx="378" formatCode="_(* #,##0_);_(* \(#,##0\);_(* &quot;-&quot;??_);_(@_)">
                  <c:v>24</c:v>
                </c:pt>
                <c:pt idx="379" formatCode="_(* #,##0_);_(* \(#,##0\);_(* &quot;-&quot;??_);_(@_)">
                  <c:v>50</c:v>
                </c:pt>
                <c:pt idx="380" formatCode="_(* #,##0_);_(* \(#,##0\);_(* &quot;-&quot;??_);_(@_)">
                  <c:v>0</c:v>
                </c:pt>
                <c:pt idx="381" formatCode="_(* #,##0_);_(* \(#,##0\);_(* &quot;-&quot;??_);_(@_)">
                  <c:v>808.16666666666674</c:v>
                </c:pt>
                <c:pt idx="382" formatCode="_(* #,##0_);_(* \(#,##0\);_(* &quot;-&quot;??_);_(@_)">
                  <c:v>125</c:v>
                </c:pt>
                <c:pt idx="383" formatCode="_(* #,##0_);_(* \(#,##0\);_(* &quot;-&quot;??_);_(@_)">
                  <c:v>10</c:v>
                </c:pt>
                <c:pt idx="384" formatCode="_(* #,##0_);_(* \(#,##0\);_(* &quot;-&quot;??_);_(@_)">
                  <c:v>166.66666666666666</c:v>
                </c:pt>
                <c:pt idx="385" formatCode="_(* #,##0_);_(* \(#,##0\);_(* &quot;-&quot;??_);_(@_)">
                  <c:v>7.5</c:v>
                </c:pt>
                <c:pt idx="386" formatCode="_(* #,##0_);_(* \(#,##0\);_(* &quot;-&quot;??_);_(@_)">
                  <c:v>40</c:v>
                </c:pt>
                <c:pt idx="387" formatCode="_(* #,##0_);_(* \(#,##0\);_(* &quot;-&quot;??_);_(@_)">
                  <c:v>50</c:v>
                </c:pt>
                <c:pt idx="388" formatCode="_(* #,##0_);_(* \(#,##0\);_(* &quot;-&quot;??_);_(@_)">
                  <c:v>0</c:v>
                </c:pt>
                <c:pt idx="389" formatCode="_(* #,##0_);_(* \(#,##0\);_(* &quot;-&quot;??_);_(@_)">
                  <c:v>399.16666666666663</c:v>
                </c:pt>
                <c:pt idx="390" formatCode="_(* #,##0_);_(* \(#,##0\);_(* &quot;-&quot;??_);_(@_)">
                  <c:v>150</c:v>
                </c:pt>
                <c:pt idx="391" formatCode="_(* #,##0_);_(* \(#,##0\);_(* &quot;-&quot;??_);_(@_)">
                  <c:v>10</c:v>
                </c:pt>
                <c:pt idx="392" formatCode="_(* #,##0_);_(* \(#,##0\);_(* &quot;-&quot;??_);_(@_)">
                  <c:v>166.66666666666666</c:v>
                </c:pt>
                <c:pt idx="393" formatCode="_(* #,##0_);_(* \(#,##0\);_(* &quot;-&quot;??_);_(@_)">
                  <c:v>6.25</c:v>
                </c:pt>
                <c:pt idx="394" formatCode="_(* #,##0_);_(* \(#,##0\);_(* &quot;-&quot;??_);_(@_)">
                  <c:v>30</c:v>
                </c:pt>
                <c:pt idx="395" formatCode="_(* #,##0_);_(* \(#,##0\);_(* &quot;-&quot;??_);_(@_)">
                  <c:v>262.5</c:v>
                </c:pt>
                <c:pt idx="396" formatCode="_(* #,##0_);_(* \(#,##0\);_(* &quot;-&quot;??_);_(@_)">
                  <c:v>0</c:v>
                </c:pt>
                <c:pt idx="397" formatCode="_(* #,##0_);_(* \(#,##0\);_(* &quot;-&quot;??_);_(@_)">
                  <c:v>625.41666666666663</c:v>
                </c:pt>
                <c:pt idx="398" formatCode="_(* #,##0_);_(* \(#,##0\);_(* &quot;-&quot;??_);_(@_)">
                  <c:v>150</c:v>
                </c:pt>
                <c:pt idx="399" formatCode="_(* #,##0_);_(* \(#,##0\);_(* &quot;-&quot;??_);_(@_)">
                  <c:v>10</c:v>
                </c:pt>
                <c:pt idx="400" formatCode="_(* #,##0_);_(* \(#,##0\);_(* &quot;-&quot;??_);_(@_)">
                  <c:v>166.66666666666666</c:v>
                </c:pt>
                <c:pt idx="401" formatCode="_(* #,##0_);_(* \(#,##0\);_(* &quot;-&quot;??_);_(@_)">
                  <c:v>50</c:v>
                </c:pt>
                <c:pt idx="402" formatCode="_(* #,##0_);_(* \(#,##0\);_(* &quot;-&quot;??_);_(@_)">
                  <c:v>7.5</c:v>
                </c:pt>
                <c:pt idx="403" formatCode="_(* #,##0_);_(* \(#,##0\);_(* &quot;-&quot;??_);_(@_)">
                  <c:v>21.5</c:v>
                </c:pt>
                <c:pt idx="404" formatCode="_(* #,##0_);_(* \(#,##0\);_(* &quot;-&quot;??_);_(@_)">
                  <c:v>50</c:v>
                </c:pt>
                <c:pt idx="405" formatCode="_(* #,##0_);_(* \(#,##0\);_(* &quot;-&quot;??_);_(@_)">
                  <c:v>262.5</c:v>
                </c:pt>
                <c:pt idx="406" formatCode="_(* #,##0_);_(* \(#,##0\);_(* &quot;-&quot;??_);_(@_)">
                  <c:v>0</c:v>
                </c:pt>
                <c:pt idx="407" formatCode="_(* #,##0_);_(* \(#,##0\);_(* &quot;-&quot;??_);_(@_)">
                  <c:v>718.16666666666663</c:v>
                </c:pt>
                <c:pt idx="408" formatCode="_(* #,##0_);_(* \(#,##0\);_(* &quot;-&quot;??_);_(@_)">
                  <c:v>125</c:v>
                </c:pt>
                <c:pt idx="409" formatCode="_(* #,##0_);_(* \(#,##0\);_(* &quot;-&quot;??_);_(@_)">
                  <c:v>100</c:v>
                </c:pt>
                <c:pt idx="410" formatCode="_(* #,##0_);_(* \(#,##0\);_(* &quot;-&quot;??_);_(@_)">
                  <c:v>6.25</c:v>
                </c:pt>
                <c:pt idx="411" formatCode="_(* #,##0_);_(* \(#,##0\);_(* &quot;-&quot;??_);_(@_)">
                  <c:v>30</c:v>
                </c:pt>
                <c:pt idx="412" formatCode="_(* #,##0_);_(* \(#,##0\);_(* &quot;-&quot;??_);_(@_)">
                  <c:v>10</c:v>
                </c:pt>
                <c:pt idx="413" formatCode="_(* #,##0_);_(* \(#,##0\);_(* &quot;-&quot;??_);_(@_)">
                  <c:v>0</c:v>
                </c:pt>
                <c:pt idx="414" formatCode="_(* #,##0_);_(* \(#,##0\);_(* &quot;-&quot;??_);_(@_)">
                  <c:v>0</c:v>
                </c:pt>
                <c:pt idx="415" formatCode="_(* #,##0_);_(* \(#,##0\);_(* &quot;-&quot;??_);_(@_)">
                  <c:v>271.25</c:v>
                </c:pt>
                <c:pt idx="416" formatCode="_(* #,##0_);_(* \(#,##0\);_(* &quot;-&quot;??_);_(@_)">
                  <c:v>250</c:v>
                </c:pt>
                <c:pt idx="417" formatCode="_(* #,##0_);_(* \(#,##0\);_(* &quot;-&quot;??_);_(@_)">
                  <c:v>6.25</c:v>
                </c:pt>
                <c:pt idx="418" formatCode="_(* #,##0_);_(* \(#,##0\);_(* &quot;-&quot;??_);_(@_)">
                  <c:v>20</c:v>
                </c:pt>
                <c:pt idx="419" formatCode="_(* #,##0_);_(* \(#,##0\);_(* &quot;-&quot;??_);_(@_)">
                  <c:v>10</c:v>
                </c:pt>
                <c:pt idx="420" formatCode="_(* #,##0_);_(* \(#,##0\);_(* &quot;-&quot;??_);_(@_)">
                  <c:v>187.5</c:v>
                </c:pt>
                <c:pt idx="421" formatCode="_(* #,##0_);_(* \(#,##0\);_(* &quot;-&quot;??_);_(@_)">
                  <c:v>0</c:v>
                </c:pt>
                <c:pt idx="422" formatCode="_(* #,##0_);_(* \(#,##0\);_(* &quot;-&quot;??_);_(@_)">
                  <c:v>473.75</c:v>
                </c:pt>
                <c:pt idx="423" formatCode="_(* #,##0_);_(* \(#,##0\);_(* &quot;-&quot;??_);_(@_)">
                  <c:v>375</c:v>
                </c:pt>
                <c:pt idx="424" formatCode="_(* #,##0_);_(* \(#,##0\);_(* &quot;-&quot;??_);_(@_)">
                  <c:v>20</c:v>
                </c:pt>
                <c:pt idx="425" formatCode="_(* #,##0_);_(* \(#,##0\);_(* &quot;-&quot;??_);_(@_)">
                  <c:v>133.33333333333334</c:v>
                </c:pt>
                <c:pt idx="426" formatCode="_(* #,##0_);_(* \(#,##0\);_(* &quot;-&quot;??_);_(@_)">
                  <c:v>700</c:v>
                </c:pt>
                <c:pt idx="427" formatCode="_(* #,##0_);_(* \(#,##0\);_(* &quot;-&quot;??_);_(@_)">
                  <c:v>7.5</c:v>
                </c:pt>
                <c:pt idx="428" formatCode="_(* #,##0_);_(* \(#,##0\);_(* &quot;-&quot;??_);_(@_)">
                  <c:v>40</c:v>
                </c:pt>
                <c:pt idx="429" formatCode="_(* #,##0_);_(* \(#,##0\);_(* &quot;-&quot;??_);_(@_)">
                  <c:v>75</c:v>
                </c:pt>
                <c:pt idx="430" formatCode="_(* #,##0_);_(* \(#,##0\);_(* &quot;-&quot;??_);_(@_)">
                  <c:v>333.33333333333331</c:v>
                </c:pt>
                <c:pt idx="431" formatCode="_(* #,##0_);_(* \(#,##0\);_(* &quot;-&quot;??_);_(@_)">
                  <c:v>166.66666666666666</c:v>
                </c:pt>
                <c:pt idx="432" formatCode="_(* #,##0_);_(* \(#,##0\);_(* &quot;-&quot;??_);_(@_)">
                  <c:v>166.66666666666666</c:v>
                </c:pt>
                <c:pt idx="433" formatCode="_(* #,##0_);_(* \(#,##0\);_(* &quot;-&quot;??_);_(@_)">
                  <c:v>35</c:v>
                </c:pt>
                <c:pt idx="434" formatCode="_(* #,##0_);_(* \(#,##0\);_(* &quot;-&quot;??_);_(@_)">
                  <c:v>0</c:v>
                </c:pt>
                <c:pt idx="435" formatCode="_(* #,##0_);_(* \(#,##0\);_(* &quot;-&quot;??_);_(@_)">
                  <c:v>35</c:v>
                </c:pt>
                <c:pt idx="438" formatCode="_(* #,##0_);_(* \(#,##0\);_(* &quot;-&quot;??_);_(@_)">
                  <c:v>2087.5</c:v>
                </c:pt>
                <c:pt idx="439" formatCode="_(* #,##0_);_(* \(#,##0\);_(* &quot;-&quot;??_);_(@_)">
                  <c:v>100</c:v>
                </c:pt>
                <c:pt idx="440" formatCode="_(* #,##0_);_(* \(#,##0\);_(* &quot;-&quot;??_);_(@_)">
                  <c:v>100</c:v>
                </c:pt>
                <c:pt idx="441" formatCode="_(* #,##0_);_(* \(#,##0\);_(* &quot;-&quot;??_);_(@_)">
                  <c:v>6.25</c:v>
                </c:pt>
                <c:pt idx="442" formatCode="_(* #,##0_);_(* \(#,##0\);_(* &quot;-&quot;??_);_(@_)">
                  <c:v>20</c:v>
                </c:pt>
                <c:pt idx="443" formatCode="_(* #,##0_);_(* \(#,##0\);_(* &quot;-&quot;??_);_(@_)">
                  <c:v>50</c:v>
                </c:pt>
                <c:pt idx="444" formatCode="_(* #,##0_);_(* \(#,##0\);_(* &quot;-&quot;??_);_(@_)">
                  <c:v>10</c:v>
                </c:pt>
                <c:pt idx="445" formatCode="_(* #,##0_);_(* \(#,##0\);_(* &quot;-&quot;??_);_(@_)">
                  <c:v>0</c:v>
                </c:pt>
                <c:pt idx="446" formatCode="_(* #,##0_);_(* \(#,##0\);_(* &quot;-&quot;??_);_(@_)">
                  <c:v>286.25</c:v>
                </c:pt>
                <c:pt idx="447" formatCode="_(* #,##0_);_(* \(#,##0\);_(* &quot;-&quot;??_);_(@_)">
                  <c:v>100</c:v>
                </c:pt>
                <c:pt idx="448" formatCode="_(* #,##0_);_(* \(#,##0\);_(* &quot;-&quot;??_);_(@_)">
                  <c:v>100</c:v>
                </c:pt>
                <c:pt idx="449" formatCode="_(* #,##0_);_(* \(#,##0\);_(* &quot;-&quot;??_);_(@_)">
                  <c:v>166.66666666666666</c:v>
                </c:pt>
                <c:pt idx="450" formatCode="_(* #,##0_);_(* \(#,##0\);_(* &quot;-&quot;??_);_(@_)">
                  <c:v>7.5</c:v>
                </c:pt>
                <c:pt idx="451" formatCode="_(* #,##0_);_(* \(#,##0\);_(* &quot;-&quot;??_);_(@_)">
                  <c:v>30</c:v>
                </c:pt>
                <c:pt idx="452" formatCode="_(* #,##0_);_(* \(#,##0\);_(* &quot;-&quot;??_);_(@_)">
                  <c:v>50</c:v>
                </c:pt>
                <c:pt idx="453" formatCode="_(* #,##0_);_(* \(#,##0\);_(* &quot;-&quot;??_);_(@_)">
                  <c:v>10</c:v>
                </c:pt>
                <c:pt idx="454" formatCode="_(* #,##0_);_(* \(#,##0\);_(* &quot;-&quot;??_);_(@_)">
                  <c:v>0</c:v>
                </c:pt>
                <c:pt idx="455" formatCode="_(* #,##0_);_(* \(#,##0\);_(* &quot;-&quot;??_);_(@_)">
                  <c:v>464.16666666666663</c:v>
                </c:pt>
                <c:pt idx="456" formatCode="_(* #,##0_);_(* \(#,##0\);_(* &quot;-&quot;??_);_(@_)">
                  <c:v>200</c:v>
                </c:pt>
                <c:pt idx="457" formatCode="_(* #,##0_);_(* \(#,##0\);_(* &quot;-&quot;??_);_(@_)">
                  <c:v>20</c:v>
                </c:pt>
                <c:pt idx="458" formatCode="_(* #,##0_);_(* \(#,##0\);_(* &quot;-&quot;??_);_(@_)">
                  <c:v>600</c:v>
                </c:pt>
                <c:pt idx="459" formatCode="_(* #,##0_);_(* \(#,##0\);_(* &quot;-&quot;??_);_(@_)">
                  <c:v>8.75</c:v>
                </c:pt>
                <c:pt idx="460" formatCode="_(* #,##0_);_(* \(#,##0\);_(* &quot;-&quot;??_);_(@_)">
                  <c:v>30</c:v>
                </c:pt>
                <c:pt idx="461" formatCode="_(* #,##0_);_(* \(#,##0\);_(* &quot;-&quot;??_);_(@_)">
                  <c:v>150</c:v>
                </c:pt>
                <c:pt idx="462" formatCode="_(* #,##0_);_(* \(#,##0\);_(* &quot;-&quot;??_);_(@_)">
                  <c:v>0</c:v>
                </c:pt>
                <c:pt idx="463" formatCode="_(* #,##0_);_(* \(#,##0\);_(* &quot;-&quot;??_);_(@_)">
                  <c:v>1008.75</c:v>
                </c:pt>
                <c:pt idx="464" formatCode="_(* #,##0_);_(* \(#,##0\);_(* &quot;-&quot;??_);_(@_)">
                  <c:v>150</c:v>
                </c:pt>
                <c:pt idx="465" formatCode="_(* #,##0_);_(* \(#,##0\);_(* &quot;-&quot;??_);_(@_)">
                  <c:v>10</c:v>
                </c:pt>
                <c:pt idx="466" formatCode="_(* #,##0_);_(* \(#,##0\);_(* &quot;-&quot;??_);_(@_)">
                  <c:v>66.666666666666671</c:v>
                </c:pt>
                <c:pt idx="467" formatCode="_(* #,##0_);_(* \(#,##0\);_(* &quot;-&quot;??_);_(@_)">
                  <c:v>600</c:v>
                </c:pt>
                <c:pt idx="468" formatCode="_(* #,##0_);_(* \(#,##0\);_(* &quot;-&quot;??_);_(@_)">
                  <c:v>7.5</c:v>
                </c:pt>
                <c:pt idx="469" formatCode="_(* #,##0_);_(* \(#,##0\);_(* &quot;-&quot;??_);_(@_)">
                  <c:v>30</c:v>
                </c:pt>
                <c:pt idx="470" formatCode="_(* #,##0_);_(* \(#,##0\);_(* &quot;-&quot;??_);_(@_)">
                  <c:v>50</c:v>
                </c:pt>
                <c:pt idx="471" formatCode="_(* #,##0_);_(* \(#,##0\);_(* &quot;-&quot;??_);_(@_)">
                  <c:v>0</c:v>
                </c:pt>
                <c:pt idx="472" formatCode="_(* #,##0_);_(* \(#,##0\);_(* &quot;-&quot;??_);_(@_)">
                  <c:v>914.16666666666674</c:v>
                </c:pt>
                <c:pt idx="473" formatCode="_(* #,##0_);_(* \(#,##0\);_(* &quot;-&quot;??_);_(@_)">
                  <c:v>150</c:v>
                </c:pt>
                <c:pt idx="474" formatCode="_(* #,##0_);_(* \(#,##0\);_(* &quot;-&quot;??_);_(@_)">
                  <c:v>166.66666666666666</c:v>
                </c:pt>
                <c:pt idx="475" formatCode="_(* #,##0_);_(* \(#,##0\);_(* &quot;-&quot;??_);_(@_)">
                  <c:v>8.75</c:v>
                </c:pt>
                <c:pt idx="476" formatCode="_(* #,##0_);_(* \(#,##0\);_(* &quot;-&quot;??_);_(@_)">
                  <c:v>30</c:v>
                </c:pt>
                <c:pt idx="477" formatCode="_(* #,##0_);_(* \(#,##0\);_(* &quot;-&quot;??_);_(@_)">
                  <c:v>50</c:v>
                </c:pt>
                <c:pt idx="478" formatCode="_(* #,##0_);_(* \(#,##0\);_(* &quot;-&quot;??_);_(@_)">
                  <c:v>10</c:v>
                </c:pt>
                <c:pt idx="479" formatCode="_(* #,##0_);_(* \(#,##0\);_(* &quot;-&quot;??_);_(@_)">
                  <c:v>0</c:v>
                </c:pt>
                <c:pt idx="480" formatCode="_(* #,##0_);_(* \(#,##0\);_(* &quot;-&quot;??_);_(@_)">
                  <c:v>415.41666666666663</c:v>
                </c:pt>
                <c:pt idx="481" formatCode="_(* #,##0_);_(* \(#,##0\);_(* &quot;-&quot;??_);_(@_)">
                  <c:v>250</c:v>
                </c:pt>
                <c:pt idx="482" formatCode="_(* #,##0_);_(* \(#,##0\);_(* &quot;-&quot;??_);_(@_)">
                  <c:v>200</c:v>
                </c:pt>
                <c:pt idx="483" formatCode="_(* #,##0_);_(* \(#,##0\);_(* &quot;-&quot;??_);_(@_)">
                  <c:v>7.5</c:v>
                </c:pt>
                <c:pt idx="484" formatCode="_(* #,##0_);_(* \(#,##0\);_(* &quot;-&quot;??_);_(@_)">
                  <c:v>30</c:v>
                </c:pt>
                <c:pt idx="485" formatCode="_(* #,##0_);_(* \(#,##0\);_(* &quot;-&quot;??_);_(@_)">
                  <c:v>60</c:v>
                </c:pt>
                <c:pt idx="486" formatCode="_(* #,##0_);_(* \(#,##0\);_(* &quot;-&quot;??_);_(@_)">
                  <c:v>20</c:v>
                </c:pt>
                <c:pt idx="487" formatCode="_(* #,##0_);_(* \(#,##0\);_(* &quot;-&quot;??_);_(@_)">
                  <c:v>0</c:v>
                </c:pt>
                <c:pt idx="488" formatCode="_(* #,##0_);_(* \(#,##0\);_(* &quot;-&quot;??_);_(@_)">
                  <c:v>567.5</c:v>
                </c:pt>
                <c:pt idx="489" formatCode="_(* #,##0_);_(* \(#,##0\);_(* &quot;-&quot;??_);_(@_)">
                  <c:v>200</c:v>
                </c:pt>
                <c:pt idx="490" formatCode="_(* #,##0_);_(* \(#,##0\);_(* &quot;-&quot;??_);_(@_)">
                  <c:v>200</c:v>
                </c:pt>
                <c:pt idx="491" formatCode="_(* #,##0_);_(* \(#,##0\);_(* &quot;-&quot;??_);_(@_)">
                  <c:v>7.5</c:v>
                </c:pt>
                <c:pt idx="492" formatCode="_(* #,##0_);_(* \(#,##0\);_(* &quot;-&quot;??_);_(@_)">
                  <c:v>30</c:v>
                </c:pt>
                <c:pt idx="493" formatCode="_(* #,##0_);_(* \(#,##0\);_(* &quot;-&quot;??_);_(@_)">
                  <c:v>50</c:v>
                </c:pt>
                <c:pt idx="494" formatCode="_(* #,##0_);_(* \(#,##0\);_(* &quot;-&quot;??_);_(@_)">
                  <c:v>10</c:v>
                </c:pt>
                <c:pt idx="495" formatCode="_(* #,##0_);_(* \(#,##0\);_(* &quot;-&quot;??_);_(@_)">
                  <c:v>0</c:v>
                </c:pt>
                <c:pt idx="496" formatCode="_(* #,##0_);_(* \(#,##0\);_(* &quot;-&quot;??_);_(@_)">
                  <c:v>497.5</c:v>
                </c:pt>
                <c:pt idx="497" formatCode="_(* #,##0_);_(* \(#,##0\);_(* &quot;-&quot;??_);_(@_)">
                  <c:v>375</c:v>
                </c:pt>
                <c:pt idx="498" formatCode="_(* #,##0_);_(* \(#,##0\);_(* &quot;-&quot;??_);_(@_)">
                  <c:v>166.66666666666666</c:v>
                </c:pt>
                <c:pt idx="499" formatCode="_(* #,##0_);_(* \(#,##0\);_(* &quot;-&quot;??_);_(@_)">
                  <c:v>7.5</c:v>
                </c:pt>
                <c:pt idx="500" formatCode="_(* #,##0_);_(* \(#,##0\);_(* &quot;-&quot;??_);_(@_)">
                  <c:v>30</c:v>
                </c:pt>
                <c:pt idx="501" formatCode="_(* #,##0_);_(* \(#,##0\);_(* &quot;-&quot;??_);_(@_)">
                  <c:v>50</c:v>
                </c:pt>
                <c:pt idx="502" formatCode="_(* #,##0_);_(* \(#,##0\);_(* &quot;-&quot;??_);_(@_)">
                  <c:v>20</c:v>
                </c:pt>
                <c:pt idx="503" formatCode="_(* #,##0_);_(* \(#,##0\);_(* &quot;-&quot;??_);_(@_)">
                  <c:v>0</c:v>
                </c:pt>
                <c:pt idx="504" formatCode="_(* #,##0_);_(* \(#,##0\);_(* &quot;-&quot;??_);_(@_)">
                  <c:v>649.16666666666663</c:v>
                </c:pt>
                <c:pt idx="505" formatCode="_(* #,##0_);_(* \(#,##0\);_(* &quot;-&quot;??_);_(@_)">
                  <c:v>350</c:v>
                </c:pt>
                <c:pt idx="506" formatCode="_(* #,##0_);_(* \(#,##0\);_(* &quot;-&quot;??_);_(@_)">
                  <c:v>20</c:v>
                </c:pt>
                <c:pt idx="507" formatCode="_(* #,##0_);_(* \(#,##0\);_(* &quot;-&quot;??_);_(@_)">
                  <c:v>600</c:v>
                </c:pt>
                <c:pt idx="508" formatCode="_(* #,##0_);_(* \(#,##0\);_(* &quot;-&quot;??_);_(@_)">
                  <c:v>7.5</c:v>
                </c:pt>
                <c:pt idx="509" formatCode="_(* #,##0_);_(* \(#,##0\);_(* &quot;-&quot;??_);_(@_)">
                  <c:v>30</c:v>
                </c:pt>
                <c:pt idx="510" formatCode="_(* #,##0_);_(* \(#,##0\);_(* &quot;-&quot;??_);_(@_)">
                  <c:v>100</c:v>
                </c:pt>
                <c:pt idx="511" formatCode="_(* #,##0_);_(* \(#,##0\);_(* &quot;-&quot;??_);_(@_)">
                  <c:v>0</c:v>
                </c:pt>
                <c:pt idx="512" formatCode="_(* #,##0_);_(* \(#,##0\);_(* &quot;-&quot;??_);_(@_)">
                  <c:v>1107.5</c:v>
                </c:pt>
                <c:pt idx="513" formatCode="_(* #,##0_);_(* \(#,##0\);_(* &quot;-&quot;??_);_(@_)">
                  <c:v>200</c:v>
                </c:pt>
                <c:pt idx="514" formatCode="_(* #,##0_);_(* \(#,##0\);_(* &quot;-&quot;??_);_(@_)">
                  <c:v>10</c:v>
                </c:pt>
                <c:pt idx="515" formatCode="_(* #,##0_);_(* \(#,##0\);_(* &quot;-&quot;??_);_(@_)">
                  <c:v>7.5</c:v>
                </c:pt>
                <c:pt idx="516" formatCode="_(* #,##0_);_(* \(#,##0\);_(* &quot;-&quot;??_);_(@_)">
                  <c:v>20</c:v>
                </c:pt>
                <c:pt idx="517" formatCode="_(* #,##0_);_(* \(#,##0\);_(* &quot;-&quot;??_);_(@_)">
                  <c:v>337.5</c:v>
                </c:pt>
                <c:pt idx="518" formatCode="_(* #,##0_);_(* \(#,##0\);_(* &quot;-&quot;??_);_(@_)">
                  <c:v>0</c:v>
                </c:pt>
                <c:pt idx="519" formatCode="_(* #,##0_);_(* \(#,##0\);_(* &quot;-&quot;??_);_(@_)">
                  <c:v>575</c:v>
                </c:pt>
                <c:pt idx="520" formatCode="_(* #,##0_);_(* \(#,##0\);_(* &quot;-&quot;??_);_(@_)">
                  <c:v>200</c:v>
                </c:pt>
                <c:pt idx="521" formatCode="_(* #,##0_);_(* \(#,##0\);_(* &quot;-&quot;??_);_(@_)">
                  <c:v>10</c:v>
                </c:pt>
                <c:pt idx="522" formatCode="_(* #,##0_);_(* \(#,##0\);_(* &quot;-&quot;??_);_(@_)">
                  <c:v>200</c:v>
                </c:pt>
                <c:pt idx="523" formatCode="_(* #,##0_);_(* \(#,##0\);_(* &quot;-&quot;??_);_(@_)">
                  <c:v>7.5</c:v>
                </c:pt>
                <c:pt idx="524" formatCode="_(* #,##0_);_(* \(#,##0\);_(* &quot;-&quot;??_);_(@_)">
                  <c:v>24</c:v>
                </c:pt>
                <c:pt idx="525" formatCode="_(* #,##0_);_(* \(#,##0\);_(* &quot;-&quot;??_);_(@_)">
                  <c:v>50</c:v>
                </c:pt>
                <c:pt idx="526" formatCode="_(* #,##0_);_(* \(#,##0\);_(* &quot;-&quot;??_);_(@_)">
                  <c:v>0</c:v>
                </c:pt>
                <c:pt idx="527" formatCode="_(* #,##0_);_(* \(#,##0\);_(* &quot;-&quot;??_);_(@_)">
                  <c:v>491.5</c:v>
                </c:pt>
                <c:pt idx="528" formatCode="_(* #,##0_);_(* \(#,##0\);_(* &quot;-&quot;??_);_(@_)">
                  <c:v>175</c:v>
                </c:pt>
                <c:pt idx="529" formatCode="_(* #,##0_);_(* \(#,##0\);_(* &quot;-&quot;??_);_(@_)">
                  <c:v>10</c:v>
                </c:pt>
                <c:pt idx="530" formatCode="_(* #,##0_);_(* \(#,##0\);_(* &quot;-&quot;??_);_(@_)">
                  <c:v>166.66666666666666</c:v>
                </c:pt>
                <c:pt idx="531" formatCode="_(* #,##0_);_(* \(#,##0\);_(* &quot;-&quot;??_);_(@_)">
                  <c:v>8.5</c:v>
                </c:pt>
                <c:pt idx="532" formatCode="_(* #,##0_);_(* \(#,##0\);_(* &quot;-&quot;??_);_(@_)">
                  <c:v>24</c:v>
                </c:pt>
                <c:pt idx="533" formatCode="_(* #,##0_);_(* \(#,##0\);_(* &quot;-&quot;??_);_(@_)">
                  <c:v>50</c:v>
                </c:pt>
                <c:pt idx="534" formatCode="_(* #,##0_);_(* \(#,##0\);_(* &quot;-&quot;??_);_(@_)">
                  <c:v>0</c:v>
                </c:pt>
                <c:pt idx="535" formatCode="_(* #,##0_);_(* \(#,##0\);_(* &quot;-&quot;??_);_(@_)">
                  <c:v>434.16666666666663</c:v>
                </c:pt>
                <c:pt idx="536" formatCode="_(* #,##0_);_(* \(#,##0\);_(* &quot;-&quot;??_);_(@_)">
                  <c:v>24385.238749999997</c:v>
                </c:pt>
                <c:pt idx="538">
                  <c:v>0</c:v>
                </c:pt>
                <c:pt idx="539" formatCode="_(* #,##0_);_(* \(#,##0\);_(* &quot;-&quot;??_);_(@_)">
                  <c:v>1440</c:v>
                </c:pt>
                <c:pt idx="540" formatCode="_(* #,##0_);_(* \(#,##0\);_(* &quot;-&quot;??_);_(@_)">
                  <c:v>1440</c:v>
                </c:pt>
                <c:pt idx="541" formatCode="_(* #,##0_);_(* \(#,##0\);_(* &quot;-&quot;??_);_(@_)">
                  <c:v>1400</c:v>
                </c:pt>
                <c:pt idx="542" formatCode="_(* #,##0_);_(* \(#,##0\);_(* &quot;-&quot;??_);_(@_)">
                  <c:v>50</c:v>
                </c:pt>
                <c:pt idx="543" formatCode="_(* #,##0_);_(* \(#,##0\);_(* &quot;-&quot;??_);_(@_)">
                  <c:v>4330</c:v>
                </c:pt>
                <c:pt idx="544">
                  <c:v>0</c:v>
                </c:pt>
                <c:pt idx="545" formatCode="_(* #,##0_);_(* \(#,##0\);_(* &quot;-&quot;??_);_(@_)">
                  <c:v>360</c:v>
                </c:pt>
                <c:pt idx="546" formatCode="_(* #,##0_);_(* \(#,##0\);_(* &quot;-&quot;??_);_(@_)">
                  <c:v>360</c:v>
                </c:pt>
                <c:pt idx="547" formatCode="_(* #,##0_);_(* \(#,##0\);_(* &quot;-&quot;??_);_(@_)">
                  <c:v>720</c:v>
                </c:pt>
                <c:pt idx="548">
                  <c:v>0</c:v>
                </c:pt>
                <c:pt idx="549" formatCode="_(* #,##0_);_(* \(#,##0\);_(* &quot;-&quot;??_);_(@_)">
                  <c:v>3240</c:v>
                </c:pt>
                <c:pt idx="550" formatCode="_(* #,##0_);_(* \(#,##0\);_(* &quot;-&quot;??_);_(@_)">
                  <c:v>3240</c:v>
                </c:pt>
                <c:pt idx="551" formatCode="_(* #,##0_);_(* \(#,##0\);_(* &quot;-&quot;??_);_(@_)">
                  <c:v>8290</c:v>
                </c:pt>
                <c:pt idx="553" formatCode="_(* #,##0_);_(* \(#,##0\);_(* &quot;-&quot;??_);_(@_)">
                  <c:v>0</c:v>
                </c:pt>
                <c:pt idx="557" formatCode="_(* #,##0_);_(* \(#,##0\);_(* &quot;-&quot;??_);_(@_)">
                  <c:v>0</c:v>
                </c:pt>
                <c:pt idx="558" formatCode="_(* #,##0_);_(* \(#,##0\);_(* &quot;-&quot;??_);_(@_)">
                  <c:v>35205</c:v>
                </c:pt>
                <c:pt idx="559" formatCode="_(* #,##0_);_(* \(#,##0\);_(* &quot;-&quot;??_);_(@_)">
                  <c:v>28295.333333333336</c:v>
                </c:pt>
                <c:pt idx="560" formatCode="_(* #,##0_);_(* \(#,##0\);_(* &quot;-&quot;??_);_(@_)">
                  <c:v>24385.238749999997</c:v>
                </c:pt>
                <c:pt idx="561" formatCode="_(* #,##0_);_(* \(#,##0\);_(* &quot;-&quot;??_);_(@_)">
                  <c:v>8290</c:v>
                </c:pt>
                <c:pt idx="562" formatCode="_(* #,##0_);_(* \(#,##0\);_(* &quot;-&quot;??_);_(@_)">
                  <c:v>0</c:v>
                </c:pt>
                <c:pt idx="563" formatCode="_(* #,##0_);_(* \(#,##0\);_(* &quot;-&quot;??_);_(@_)">
                  <c:v>96175.572083333333</c:v>
                </c:pt>
              </c:numCache>
            </c:numRef>
          </c:val>
          <c:extLst>
            <c:ext xmlns:c16="http://schemas.microsoft.com/office/drawing/2014/chart" uri="{C3380CC4-5D6E-409C-BE32-E72D297353CC}">
              <c16:uniqueId val="{00000002-D0A8-43A3-B2BA-CC7AF60235AB}"/>
            </c:ext>
          </c:extLst>
        </c:ser>
        <c:ser>
          <c:idx val="3"/>
          <c:order val="3"/>
          <c:invertIfNegative val="0"/>
          <c:cat>
            <c:multiLvlStrRef>
              <c:f>'پلان گاری سالانه با نواقص'!$A$1:$K$579</c:f>
              <c:multiLvlStrCache>
                <c:ptCount val="1158"/>
                <c:lvl>
                  <c:pt idx="2">
                    <c:v>قیمت فی واحد</c:v>
                  </c:pt>
                  <c:pt idx="4">
                    <c:v>100000</c:v>
                  </c:pt>
                  <c:pt idx="5">
                    <c:v>800</c:v>
                  </c:pt>
                  <c:pt idx="6">
                    <c:v>0</c:v>
                  </c:pt>
                  <c:pt idx="8">
                    <c:v>قیمت فی واحد</c:v>
                  </c:pt>
                  <c:pt idx="9">
                    <c:v>100000</c:v>
                  </c:pt>
                  <c:pt idx="10">
                    <c:v>800</c:v>
                  </c:pt>
                  <c:pt idx="11">
                    <c:v>0</c:v>
                  </c:pt>
                  <c:pt idx="13">
                    <c:v>قیمت فی واحد</c:v>
                  </c:pt>
                  <c:pt idx="14">
                    <c:v>100000</c:v>
                  </c:pt>
                  <c:pt idx="15">
                    <c:v>800</c:v>
                  </c:pt>
                  <c:pt idx="16">
                    <c:v>700</c:v>
                  </c:pt>
                  <c:pt idx="19">
                    <c:v>قیمت فی واحد</c:v>
                  </c:pt>
                  <c:pt idx="20">
                    <c:v>100000</c:v>
                  </c:pt>
                  <c:pt idx="21">
                    <c:v>800</c:v>
                  </c:pt>
                  <c:pt idx="22">
                    <c:v>0</c:v>
                  </c:pt>
                  <c:pt idx="24">
                    <c:v>قیمت فی واحد</c:v>
                  </c:pt>
                  <c:pt idx="25">
                    <c:v>100000</c:v>
                  </c:pt>
                  <c:pt idx="26">
                    <c:v>800</c:v>
                  </c:pt>
                  <c:pt idx="27">
                    <c:v>0</c:v>
                  </c:pt>
                  <c:pt idx="29">
                    <c:v>قیمت فی واحد</c:v>
                  </c:pt>
                  <c:pt idx="30">
                    <c:v>144000</c:v>
                  </c:pt>
                  <c:pt idx="31">
                    <c:v>10000</c:v>
                  </c:pt>
                  <c:pt idx="33">
                    <c:v>قیمت فی واحد</c:v>
                  </c:pt>
                  <c:pt idx="34">
                    <c:v>144000</c:v>
                  </c:pt>
                  <c:pt idx="35">
                    <c:v>10000</c:v>
                  </c:pt>
                  <c:pt idx="37">
                    <c:v>قیمت فی واحد</c:v>
                  </c:pt>
                  <c:pt idx="38">
                    <c:v>144000</c:v>
                  </c:pt>
                  <c:pt idx="41">
                    <c:v>قیمت فی واحد</c:v>
                  </c:pt>
                  <c:pt idx="42">
                    <c:v>100000</c:v>
                  </c:pt>
                  <c:pt idx="43">
                    <c:v>1500</c:v>
                  </c:pt>
                  <c:pt idx="44">
                    <c:v>800</c:v>
                  </c:pt>
                  <c:pt idx="47">
                    <c:v>قیمت فی واحد</c:v>
                  </c:pt>
                  <c:pt idx="48">
                    <c:v>100000</c:v>
                  </c:pt>
                  <c:pt idx="49">
                    <c:v>700</c:v>
                  </c:pt>
                  <c:pt idx="50">
                    <c:v>250</c:v>
                  </c:pt>
                  <c:pt idx="51">
                    <c:v>800</c:v>
                  </c:pt>
                  <c:pt idx="52">
                    <c:v>10000</c:v>
                  </c:pt>
                  <c:pt idx="54">
                    <c:v>قیمت فی واحد</c:v>
                  </c:pt>
                  <c:pt idx="55">
                    <c:v>100000</c:v>
                  </c:pt>
                  <c:pt idx="56">
                    <c:v>800</c:v>
                  </c:pt>
                  <c:pt idx="59">
                    <c:v>قیمت فی واحد</c:v>
                  </c:pt>
                  <c:pt idx="60">
                    <c:v>100000</c:v>
                  </c:pt>
                  <c:pt idx="61">
                    <c:v>800</c:v>
                  </c:pt>
                  <c:pt idx="64">
                    <c:v>قیمت فی واحد</c:v>
                  </c:pt>
                  <c:pt idx="65">
                    <c:v>60000</c:v>
                  </c:pt>
                  <c:pt idx="70">
                    <c:v>نورم کار</c:v>
                  </c:pt>
                  <c:pt idx="77">
                    <c:v>4000</c:v>
                  </c:pt>
                  <c:pt idx="79">
                    <c:v>125</c:v>
                  </c:pt>
                  <c:pt idx="80">
                    <c:v>250</c:v>
                  </c:pt>
                  <c:pt idx="86">
                    <c:v>قیمت فی واحد</c:v>
                  </c:pt>
                  <c:pt idx="91">
                    <c:v>500</c:v>
                  </c:pt>
                  <c:pt idx="92">
                    <c:v>300</c:v>
                  </c:pt>
                  <c:pt idx="93">
                    <c:v>100</c:v>
                  </c:pt>
                  <c:pt idx="95">
                    <c:v>80</c:v>
                  </c:pt>
                  <c:pt idx="96">
                    <c:v>80</c:v>
                  </c:pt>
                  <c:pt idx="98">
                    <c:v>50</c:v>
                  </c:pt>
                  <c:pt idx="99">
                    <c:v>100</c:v>
                  </c:pt>
                  <c:pt idx="101">
                    <c:v>4000</c:v>
                  </c:pt>
                  <c:pt idx="103">
                    <c:v>100</c:v>
                  </c:pt>
                  <c:pt idx="106">
                    <c:v>125</c:v>
                  </c:pt>
                  <c:pt idx="107">
                    <c:v>250</c:v>
                  </c:pt>
                  <c:pt idx="114">
                    <c:v>قیمت فی واحد</c:v>
                  </c:pt>
                  <c:pt idx="120">
                    <c:v>4000</c:v>
                  </c:pt>
                  <c:pt idx="122">
                    <c:v>250</c:v>
                  </c:pt>
                  <c:pt idx="123">
                    <c:v>250</c:v>
                  </c:pt>
                  <c:pt idx="129">
                    <c:v>قیمت فی واحد</c:v>
                  </c:pt>
                  <c:pt idx="132">
                    <c:v>500</c:v>
                  </c:pt>
                  <c:pt idx="133">
                    <c:v>300</c:v>
                  </c:pt>
                  <c:pt idx="134">
                    <c:v>100</c:v>
                  </c:pt>
                  <c:pt idx="136">
                    <c:v>80</c:v>
                  </c:pt>
                  <c:pt idx="137">
                    <c:v>80</c:v>
                  </c:pt>
                  <c:pt idx="139">
                    <c:v>50</c:v>
                  </c:pt>
                  <c:pt idx="140">
                    <c:v>100</c:v>
                  </c:pt>
                  <c:pt idx="142">
                    <c:v>4000</c:v>
                  </c:pt>
                  <c:pt idx="144">
                    <c:v>100</c:v>
                  </c:pt>
                  <c:pt idx="147">
                    <c:v>125</c:v>
                  </c:pt>
                  <c:pt idx="148">
                    <c:v>250</c:v>
                  </c:pt>
                  <c:pt idx="149">
                    <c:v>250</c:v>
                  </c:pt>
                  <c:pt idx="157">
                    <c:v>قیمت فی واحد</c:v>
                  </c:pt>
                  <c:pt idx="163">
                    <c:v>4000</c:v>
                  </c:pt>
                  <c:pt idx="165">
                    <c:v>125</c:v>
                  </c:pt>
                  <c:pt idx="166">
                    <c:v>250</c:v>
                  </c:pt>
                  <c:pt idx="172">
                    <c:v>قیمت فی واحد</c:v>
                  </c:pt>
                  <c:pt idx="176">
                    <c:v>100</c:v>
                  </c:pt>
                  <c:pt idx="180">
                    <c:v>قیمت فی واحد</c:v>
                  </c:pt>
                  <c:pt idx="184">
                    <c:v>100</c:v>
                  </c:pt>
                  <c:pt idx="187">
                    <c:v>قیمت فی واحد</c:v>
                  </c:pt>
                  <c:pt idx="193">
                    <c:v>500</c:v>
                  </c:pt>
                  <c:pt idx="194">
                    <c:v>300</c:v>
                  </c:pt>
                  <c:pt idx="195">
                    <c:v>100</c:v>
                  </c:pt>
                  <c:pt idx="197">
                    <c:v>80</c:v>
                  </c:pt>
                  <c:pt idx="198">
                    <c:v>80</c:v>
                  </c:pt>
                  <c:pt idx="200">
                    <c:v>50</c:v>
                  </c:pt>
                  <c:pt idx="201">
                    <c:v>100</c:v>
                  </c:pt>
                  <c:pt idx="203">
                    <c:v>4000</c:v>
                  </c:pt>
                  <c:pt idx="205">
                    <c:v>100</c:v>
                  </c:pt>
                  <c:pt idx="208">
                    <c:v>125</c:v>
                  </c:pt>
                  <c:pt idx="210">
                    <c:v>250</c:v>
                  </c:pt>
                  <c:pt idx="216">
                    <c:v>قیمت فی واحد</c:v>
                  </c:pt>
                  <c:pt idx="220">
                    <c:v>500</c:v>
                  </c:pt>
                  <c:pt idx="221">
                    <c:v>300</c:v>
                  </c:pt>
                  <c:pt idx="222">
                    <c:v>100</c:v>
                  </c:pt>
                  <c:pt idx="224">
                    <c:v>80</c:v>
                  </c:pt>
                  <c:pt idx="225">
                    <c:v>80</c:v>
                  </c:pt>
                  <c:pt idx="227">
                    <c:v>50</c:v>
                  </c:pt>
                  <c:pt idx="228">
                    <c:v>100</c:v>
                  </c:pt>
                  <c:pt idx="230">
                    <c:v>4000</c:v>
                  </c:pt>
                  <c:pt idx="232">
                    <c:v>100</c:v>
                  </c:pt>
                  <c:pt idx="237">
                    <c:v>قیمت فی واحد</c:v>
                  </c:pt>
                  <c:pt idx="242">
                    <c:v>4000</c:v>
                  </c:pt>
                  <c:pt idx="245">
                    <c:v>قیمت فی واحد</c:v>
                  </c:pt>
                  <c:pt idx="250">
                    <c:v>4000</c:v>
                  </c:pt>
                  <c:pt idx="253">
                    <c:v>قیمت فی واحد</c:v>
                  </c:pt>
                  <c:pt idx="258">
                    <c:v>4000</c:v>
                  </c:pt>
                  <c:pt idx="261">
                    <c:v>قیمت فی واحد</c:v>
                  </c:pt>
                  <c:pt idx="266">
                    <c:v>4000</c:v>
                  </c:pt>
                  <c:pt idx="269">
                    <c:v>قیمت فی واحد</c:v>
                  </c:pt>
                  <c:pt idx="274">
                    <c:v>4000</c:v>
                  </c:pt>
                  <c:pt idx="276">
                    <c:v>125</c:v>
                  </c:pt>
                  <c:pt idx="277">
                    <c:v>250</c:v>
                  </c:pt>
                  <c:pt idx="283">
                    <c:v>قیمت فی واحد</c:v>
                  </c:pt>
                  <c:pt idx="288">
                    <c:v>4000</c:v>
                  </c:pt>
                  <c:pt idx="290">
                    <c:v>125</c:v>
                  </c:pt>
                  <c:pt idx="291">
                    <c:v>250</c:v>
                  </c:pt>
                  <c:pt idx="297">
                    <c:v>11</c:v>
                  </c:pt>
                  <c:pt idx="298">
                    <c:v>12</c:v>
                  </c:pt>
                  <c:pt idx="302">
                    <c:v>قیمت فی واحد</c:v>
                  </c:pt>
                  <c:pt idx="538">
                    <c:v>قیمت فی واحد</c:v>
                  </c:pt>
                  <c:pt idx="539">
                    <c:v>32000</c:v>
                  </c:pt>
                  <c:pt idx="540">
                    <c:v>80000</c:v>
                  </c:pt>
                  <c:pt idx="541">
                    <c:v>2500</c:v>
                  </c:pt>
                  <c:pt idx="542">
                    <c:v>2147680</c:v>
                  </c:pt>
                  <c:pt idx="544">
                    <c:v>قیمت فی واحد</c:v>
                  </c:pt>
                  <c:pt idx="545">
                    <c:v>12000</c:v>
                  </c:pt>
                  <c:pt idx="546">
                    <c:v>8000</c:v>
                  </c:pt>
                  <c:pt idx="548">
                    <c:v>قیمت فی واحد</c:v>
                  </c:pt>
                  <c:pt idx="549">
                    <c:v>9115</c:v>
                  </c:pt>
                  <c:pt idx="557">
                    <c:v>قیمت به دالر </c:v>
                  </c:pt>
                  <c:pt idx="558">
                    <c:v> 201,492.54 </c:v>
                  </c:pt>
                  <c:pt idx="559">
                    <c:v> 260,591.47 </c:v>
                  </c:pt>
                  <c:pt idx="560">
                    <c:v> 389,259.12 </c:v>
                  </c:pt>
                  <c:pt idx="561">
                    <c:v> 114,546.39 </c:v>
                  </c:pt>
                  <c:pt idx="562">
                    <c:v> 34,110.48 </c:v>
                  </c:pt>
                  <c:pt idx="563">
                    <c:v> 1,000,000 </c:v>
                  </c:pt>
                  <c:pt idx="582">
                    <c:v>تاریخ ختم </c:v>
                  </c:pt>
                  <c:pt idx="583">
                    <c:v>1397/9/30</c:v>
                  </c:pt>
                  <c:pt idx="584">
                    <c:v>1397/9/30</c:v>
                  </c:pt>
                  <c:pt idx="585">
                    <c:v>1397/9/30</c:v>
                  </c:pt>
                  <c:pt idx="587">
                    <c:v>تاریخ ختم </c:v>
                  </c:pt>
                  <c:pt idx="588">
                    <c:v>1397/9/30</c:v>
                  </c:pt>
                  <c:pt idx="589">
                    <c:v>1397/9/30</c:v>
                  </c:pt>
                  <c:pt idx="590">
                    <c:v>1397/9/30</c:v>
                  </c:pt>
                  <c:pt idx="593">
                    <c:v>1397/9/30</c:v>
                  </c:pt>
                  <c:pt idx="594">
                    <c:v>1397/9/30</c:v>
                  </c:pt>
                  <c:pt idx="595">
                    <c:v>1397/9/30</c:v>
                  </c:pt>
                  <c:pt idx="596">
                    <c:v>1397/9/30</c:v>
                  </c:pt>
                  <c:pt idx="598">
                    <c:v>تاریخ ختم </c:v>
                  </c:pt>
                  <c:pt idx="599">
                    <c:v>1397/9/30</c:v>
                  </c:pt>
                  <c:pt idx="600">
                    <c:v>1397/9/30</c:v>
                  </c:pt>
                  <c:pt idx="601">
                    <c:v>1397/9/30</c:v>
                  </c:pt>
                  <c:pt idx="603">
                    <c:v>تاریخ ختم </c:v>
                  </c:pt>
                  <c:pt idx="604">
                    <c:v>1397/9/30</c:v>
                  </c:pt>
                  <c:pt idx="605">
                    <c:v>1397/9/30</c:v>
                  </c:pt>
                  <c:pt idx="606">
                    <c:v>1397/9/30</c:v>
                  </c:pt>
                  <c:pt idx="608">
                    <c:v>تاریخ ختم </c:v>
                  </c:pt>
                  <c:pt idx="609">
                    <c:v>1397/9/30</c:v>
                  </c:pt>
                  <c:pt idx="610">
                    <c:v>1397/9/30</c:v>
                  </c:pt>
                  <c:pt idx="612">
                    <c:v>تاریخ ختم </c:v>
                  </c:pt>
                  <c:pt idx="613">
                    <c:v>1397/9/30</c:v>
                  </c:pt>
                  <c:pt idx="614">
                    <c:v>1397/9/30</c:v>
                  </c:pt>
                  <c:pt idx="616">
                    <c:v>تاریخ ختم </c:v>
                  </c:pt>
                  <c:pt idx="617">
                    <c:v>1397/9/30</c:v>
                  </c:pt>
                  <c:pt idx="618">
                    <c:v>1397/9/30</c:v>
                  </c:pt>
                  <c:pt idx="620">
                    <c:v>تاریخ ختم </c:v>
                  </c:pt>
                  <c:pt idx="621">
                    <c:v>1397/9/30</c:v>
                  </c:pt>
                  <c:pt idx="622">
                    <c:v>1397/9/30</c:v>
                  </c:pt>
                  <c:pt idx="623">
                    <c:v>1397/9/30</c:v>
                  </c:pt>
                  <c:pt idx="624">
                    <c:v>1397/9/30</c:v>
                  </c:pt>
                  <c:pt idx="626">
                    <c:v>تاریخ ختم </c:v>
                  </c:pt>
                  <c:pt idx="627">
                    <c:v>1397/9/30</c:v>
                  </c:pt>
                  <c:pt idx="628">
                    <c:v>1397/9/30</c:v>
                  </c:pt>
                  <c:pt idx="629">
                    <c:v>1397/9/30</c:v>
                  </c:pt>
                  <c:pt idx="630">
                    <c:v>1397/9/30</c:v>
                  </c:pt>
                  <c:pt idx="631">
                    <c:v>1397/9/30</c:v>
                  </c:pt>
                  <c:pt idx="633">
                    <c:v>تاریخ ختم </c:v>
                  </c:pt>
                  <c:pt idx="634">
                    <c:v>1397/9/30</c:v>
                  </c:pt>
                  <c:pt idx="635">
                    <c:v>1397/9/30</c:v>
                  </c:pt>
                  <c:pt idx="636">
                    <c:v>1397/9/30</c:v>
                  </c:pt>
                  <c:pt idx="638">
                    <c:v>تاریخ ختم </c:v>
                  </c:pt>
                  <c:pt idx="639">
                    <c:v>1397/9/30</c:v>
                  </c:pt>
                  <c:pt idx="640">
                    <c:v>1397/9/30</c:v>
                  </c:pt>
                  <c:pt idx="641">
                    <c:v>1397/9/30</c:v>
                  </c:pt>
                  <c:pt idx="643">
                    <c:v>تاریخ ختم </c:v>
                  </c:pt>
                  <c:pt idx="644">
                    <c:v>1397/9/30</c:v>
                  </c:pt>
                  <c:pt idx="645">
                    <c:v>1397/9/30</c:v>
                  </c:pt>
                  <c:pt idx="647">
                    <c:v> -   </c:v>
                  </c:pt>
                  <c:pt idx="650">
                    <c:v>تاریخ ختم</c:v>
                  </c:pt>
                  <c:pt idx="651">
                    <c:v>30دلو</c:v>
                  </c:pt>
                  <c:pt idx="652">
                    <c:v>30حمل</c:v>
                  </c:pt>
                  <c:pt idx="655">
                    <c:v>30قوس </c:v>
                  </c:pt>
                  <c:pt idx="656">
                    <c:v>30قوس </c:v>
                  </c:pt>
                  <c:pt idx="658">
                    <c:v>30عقرب</c:v>
                  </c:pt>
                  <c:pt idx="659">
                    <c:v>30قوس</c:v>
                  </c:pt>
                  <c:pt idx="660">
                    <c:v>30سنبله </c:v>
                  </c:pt>
                  <c:pt idx="661">
                    <c:v>30سنبله </c:v>
                  </c:pt>
                  <c:pt idx="662">
                    <c:v>30عقرب</c:v>
                  </c:pt>
                  <c:pt idx="663">
                    <c:v>30قوس</c:v>
                  </c:pt>
                  <c:pt idx="665">
                    <c:v>تاریخ ختم </c:v>
                  </c:pt>
                  <c:pt idx="667">
                    <c:v>30قوس</c:v>
                  </c:pt>
                  <c:pt idx="668">
                    <c:v>30قوس</c:v>
                  </c:pt>
                  <c:pt idx="669">
                    <c:v>30قوس</c:v>
                  </c:pt>
                  <c:pt idx="670">
                    <c:v>15حوت</c:v>
                  </c:pt>
                  <c:pt idx="671">
                    <c:v>15حوت</c:v>
                  </c:pt>
                  <c:pt idx="672">
                    <c:v>30عقرب</c:v>
                  </c:pt>
                  <c:pt idx="673">
                    <c:v>30دلو</c:v>
                  </c:pt>
                  <c:pt idx="674">
                    <c:v>30عقرب</c:v>
                  </c:pt>
                  <c:pt idx="675">
                    <c:v>30عقرب</c:v>
                  </c:pt>
                  <c:pt idx="676">
                    <c:v>15قوس</c:v>
                  </c:pt>
                  <c:pt idx="677">
                    <c:v>15قوس</c:v>
                  </c:pt>
                  <c:pt idx="678">
                    <c:v>15حوت</c:v>
                  </c:pt>
                  <c:pt idx="679">
                    <c:v>30جدی</c:v>
                  </c:pt>
                  <c:pt idx="680">
                    <c:v>30حوت</c:v>
                  </c:pt>
                  <c:pt idx="681">
                    <c:v>30حوت</c:v>
                  </c:pt>
                  <c:pt idx="682">
                    <c:v>30سنبله </c:v>
                  </c:pt>
                  <c:pt idx="683">
                    <c:v>30میزان</c:v>
                  </c:pt>
                  <c:pt idx="685">
                    <c:v>30عقرب</c:v>
                  </c:pt>
                  <c:pt idx="686">
                    <c:v>30قوس</c:v>
                  </c:pt>
                  <c:pt idx="687">
                    <c:v>30سنبله </c:v>
                  </c:pt>
                  <c:pt idx="688">
                    <c:v>30سنبله </c:v>
                  </c:pt>
                  <c:pt idx="689">
                    <c:v>30عقرب</c:v>
                  </c:pt>
                  <c:pt idx="690">
                    <c:v>30قوس</c:v>
                  </c:pt>
                  <c:pt idx="691">
                    <c:v>30قوس</c:v>
                  </c:pt>
                  <c:pt idx="693">
                    <c:v>تاریخ ختم </c:v>
                  </c:pt>
                  <c:pt idx="694">
                    <c:v>30دلو</c:v>
                  </c:pt>
                  <c:pt idx="695">
                    <c:v>30حمل</c:v>
                  </c:pt>
                  <c:pt idx="696">
                    <c:v>30 قوس</c:v>
                  </c:pt>
                  <c:pt idx="697">
                    <c:v>30 قوس</c:v>
                  </c:pt>
                  <c:pt idx="698">
                    <c:v>30قوس </c:v>
                  </c:pt>
                  <c:pt idx="699">
                    <c:v>30قوس </c:v>
                  </c:pt>
                  <c:pt idx="701">
                    <c:v>30عقرب</c:v>
                  </c:pt>
                  <c:pt idx="702">
                    <c:v>30قوس</c:v>
                  </c:pt>
                  <c:pt idx="703">
                    <c:v>30سنبله </c:v>
                  </c:pt>
                  <c:pt idx="704">
                    <c:v>30سنبله </c:v>
                  </c:pt>
                  <c:pt idx="705">
                    <c:v>30عقرب</c:v>
                  </c:pt>
                  <c:pt idx="706">
                    <c:v>30قوس</c:v>
                  </c:pt>
                  <c:pt idx="708">
                    <c:v>تاریخ ختم </c:v>
                  </c:pt>
                  <c:pt idx="709">
                    <c:v>30قوس</c:v>
                  </c:pt>
                  <c:pt idx="710">
                    <c:v>30قوس</c:v>
                  </c:pt>
                  <c:pt idx="711">
                    <c:v>15حوت</c:v>
                  </c:pt>
                  <c:pt idx="712">
                    <c:v>15حوت</c:v>
                  </c:pt>
                  <c:pt idx="713">
                    <c:v>30عقرب</c:v>
                  </c:pt>
                  <c:pt idx="714">
                    <c:v>30دلو</c:v>
                  </c:pt>
                  <c:pt idx="715">
                    <c:v>30عقرب</c:v>
                  </c:pt>
                  <c:pt idx="716">
                    <c:v>30عقرب</c:v>
                  </c:pt>
                  <c:pt idx="717">
                    <c:v>15قوس</c:v>
                  </c:pt>
                  <c:pt idx="718">
                    <c:v>15قوس</c:v>
                  </c:pt>
                  <c:pt idx="719">
                    <c:v>15حوت</c:v>
                  </c:pt>
                  <c:pt idx="720">
                    <c:v>30جدی</c:v>
                  </c:pt>
                  <c:pt idx="721">
                    <c:v>30حوت</c:v>
                  </c:pt>
                  <c:pt idx="722">
                    <c:v>30حوت</c:v>
                  </c:pt>
                  <c:pt idx="723">
                    <c:v>30سنبله </c:v>
                  </c:pt>
                  <c:pt idx="724">
                    <c:v>30میزان</c:v>
                  </c:pt>
                  <c:pt idx="726">
                    <c:v>30عقرب</c:v>
                  </c:pt>
                  <c:pt idx="727">
                    <c:v>30عقرب</c:v>
                  </c:pt>
                  <c:pt idx="728">
                    <c:v>30قوس</c:v>
                  </c:pt>
                  <c:pt idx="729">
                    <c:v>30سنبله </c:v>
                  </c:pt>
                  <c:pt idx="730">
                    <c:v>30سنبله </c:v>
                  </c:pt>
                  <c:pt idx="731">
                    <c:v>30عقرب</c:v>
                  </c:pt>
                  <c:pt idx="732">
                    <c:v>30عقرب</c:v>
                  </c:pt>
                  <c:pt idx="733">
                    <c:v>30قوس</c:v>
                  </c:pt>
                  <c:pt idx="734">
                    <c:v>30قوس</c:v>
                  </c:pt>
                  <c:pt idx="736">
                    <c:v>تاریخ ختم </c:v>
                  </c:pt>
                  <c:pt idx="737">
                    <c:v>30دلو</c:v>
                  </c:pt>
                  <c:pt idx="738">
                    <c:v>30حمل</c:v>
                  </c:pt>
                  <c:pt idx="739">
                    <c:v>30 قوس</c:v>
                  </c:pt>
                  <c:pt idx="740">
                    <c:v>30قوس</c:v>
                  </c:pt>
                  <c:pt idx="741">
                    <c:v>30قوس </c:v>
                  </c:pt>
                  <c:pt idx="742">
                    <c:v>30قوس </c:v>
                  </c:pt>
                  <c:pt idx="744">
                    <c:v>30عقرب</c:v>
                  </c:pt>
                  <c:pt idx="745">
                    <c:v>30قوس</c:v>
                  </c:pt>
                  <c:pt idx="746">
                    <c:v>30سنبله </c:v>
                  </c:pt>
                  <c:pt idx="747">
                    <c:v>30سنبله </c:v>
                  </c:pt>
                  <c:pt idx="748">
                    <c:v>30عقرب</c:v>
                  </c:pt>
                  <c:pt idx="749">
                    <c:v>30قوس</c:v>
                  </c:pt>
                  <c:pt idx="751">
                    <c:v>تاریخ ختم </c:v>
                  </c:pt>
                  <c:pt idx="752">
                    <c:v>30قوس</c:v>
                  </c:pt>
                  <c:pt idx="753">
                    <c:v>30قوس</c:v>
                  </c:pt>
                  <c:pt idx="754">
                    <c:v>30قوس</c:v>
                  </c:pt>
                  <c:pt idx="755">
                    <c:v>30سنبله </c:v>
                  </c:pt>
                  <c:pt idx="756">
                    <c:v>30میزان</c:v>
                  </c:pt>
                  <c:pt idx="757">
                    <c:v>30قوس</c:v>
                  </c:pt>
                  <c:pt idx="759">
                    <c:v>تاریخ ختم </c:v>
                  </c:pt>
                  <c:pt idx="760">
                    <c:v>30قوس</c:v>
                  </c:pt>
                  <c:pt idx="761">
                    <c:v>30قوس</c:v>
                  </c:pt>
                  <c:pt idx="762">
                    <c:v>30میزان</c:v>
                  </c:pt>
                  <c:pt idx="763">
                    <c:v>30سنبله </c:v>
                  </c:pt>
                  <c:pt idx="764">
                    <c:v>30قوس</c:v>
                  </c:pt>
                  <c:pt idx="766">
                    <c:v>تاریخ ختم </c:v>
                  </c:pt>
                  <c:pt idx="767">
                    <c:v>30قوس</c:v>
                  </c:pt>
                  <c:pt idx="768">
                    <c:v>30قوس</c:v>
                  </c:pt>
                  <c:pt idx="769">
                    <c:v>30حمل</c:v>
                  </c:pt>
                  <c:pt idx="770">
                    <c:v>30قوس</c:v>
                  </c:pt>
                  <c:pt idx="771">
                    <c:v>30قوس</c:v>
                  </c:pt>
                  <c:pt idx="772">
                    <c:v>15حوت</c:v>
                  </c:pt>
                  <c:pt idx="773">
                    <c:v>15حوت</c:v>
                  </c:pt>
                  <c:pt idx="774">
                    <c:v>30عقرب</c:v>
                  </c:pt>
                  <c:pt idx="775">
                    <c:v>30دلو</c:v>
                  </c:pt>
                  <c:pt idx="776">
                    <c:v>30عقرب</c:v>
                  </c:pt>
                  <c:pt idx="777">
                    <c:v>30عقرب</c:v>
                  </c:pt>
                  <c:pt idx="778">
                    <c:v>15قوس</c:v>
                  </c:pt>
                  <c:pt idx="779">
                    <c:v>15قوس</c:v>
                  </c:pt>
                  <c:pt idx="780">
                    <c:v>15حوت</c:v>
                  </c:pt>
                  <c:pt idx="781">
                    <c:v>30جدی</c:v>
                  </c:pt>
                  <c:pt idx="782">
                    <c:v>30حوت</c:v>
                  </c:pt>
                  <c:pt idx="783">
                    <c:v>30حوت</c:v>
                  </c:pt>
                  <c:pt idx="784">
                    <c:v>30سنبله </c:v>
                  </c:pt>
                  <c:pt idx="785">
                    <c:v>30میزان</c:v>
                  </c:pt>
                  <c:pt idx="786">
                    <c:v>30قوس</c:v>
                  </c:pt>
                  <c:pt idx="787">
                    <c:v>30عقرب</c:v>
                  </c:pt>
                  <c:pt idx="788">
                    <c:v>30قوس</c:v>
                  </c:pt>
                  <c:pt idx="789">
                    <c:v>30سنبله </c:v>
                  </c:pt>
                  <c:pt idx="790">
                    <c:v>30سنبله </c:v>
                  </c:pt>
                  <c:pt idx="791">
                    <c:v>30عقرب</c:v>
                  </c:pt>
                  <c:pt idx="792">
                    <c:v>30قوس</c:v>
                  </c:pt>
                  <c:pt idx="793">
                    <c:v>30قوس</c:v>
                  </c:pt>
                  <c:pt idx="795">
                    <c:v>تاریخ ختم </c:v>
                  </c:pt>
                  <c:pt idx="796">
                    <c:v>30قوس</c:v>
                  </c:pt>
                  <c:pt idx="797">
                    <c:v>30 قوس</c:v>
                  </c:pt>
                  <c:pt idx="798">
                    <c:v>30قوس</c:v>
                  </c:pt>
                  <c:pt idx="799">
                    <c:v>15حوت</c:v>
                  </c:pt>
                  <c:pt idx="800">
                    <c:v>15حوت</c:v>
                  </c:pt>
                  <c:pt idx="801">
                    <c:v>30عقرب</c:v>
                  </c:pt>
                  <c:pt idx="802">
                    <c:v>30دلو</c:v>
                  </c:pt>
                  <c:pt idx="803">
                    <c:v>30عقرب</c:v>
                  </c:pt>
                  <c:pt idx="804">
                    <c:v>30عقرب</c:v>
                  </c:pt>
                  <c:pt idx="805">
                    <c:v>15قوس</c:v>
                  </c:pt>
                  <c:pt idx="806">
                    <c:v>15قوس</c:v>
                  </c:pt>
                  <c:pt idx="807">
                    <c:v>15حوت</c:v>
                  </c:pt>
                  <c:pt idx="808">
                    <c:v>30جدی</c:v>
                  </c:pt>
                  <c:pt idx="809">
                    <c:v>30حوت</c:v>
                  </c:pt>
                  <c:pt idx="810">
                    <c:v>30حوت</c:v>
                  </c:pt>
                  <c:pt idx="811">
                    <c:v>30سنبله </c:v>
                  </c:pt>
                  <c:pt idx="812">
                    <c:v>30میزان</c:v>
                  </c:pt>
                  <c:pt idx="813">
                    <c:v>30قوس</c:v>
                  </c:pt>
                  <c:pt idx="814">
                    <c:v>30قوس</c:v>
                  </c:pt>
                  <c:pt idx="816">
                    <c:v>تاریخ ختم </c:v>
                  </c:pt>
                  <c:pt idx="817">
                    <c:v>30دلو</c:v>
                  </c:pt>
                  <c:pt idx="818">
                    <c:v>30حمل</c:v>
                  </c:pt>
                  <c:pt idx="819">
                    <c:v>31 قوس</c:v>
                  </c:pt>
                  <c:pt idx="820">
                    <c:v>30قوس </c:v>
                  </c:pt>
                  <c:pt idx="821">
                    <c:v>30قوس </c:v>
                  </c:pt>
                  <c:pt idx="822">
                    <c:v>30قوس</c:v>
                  </c:pt>
                  <c:pt idx="824">
                    <c:v>تاریخ ختم </c:v>
                  </c:pt>
                  <c:pt idx="825">
                    <c:v>30دلو</c:v>
                  </c:pt>
                  <c:pt idx="826">
                    <c:v>30حمل</c:v>
                  </c:pt>
                  <c:pt idx="827">
                    <c:v>31 قوس</c:v>
                  </c:pt>
                  <c:pt idx="828">
                    <c:v>30قوس </c:v>
                  </c:pt>
                  <c:pt idx="829">
                    <c:v>30قوس </c:v>
                  </c:pt>
                  <c:pt idx="830">
                    <c:v>30قوس</c:v>
                  </c:pt>
                  <c:pt idx="832">
                    <c:v>تاریخ ختم </c:v>
                  </c:pt>
                  <c:pt idx="833">
                    <c:v>30دلو</c:v>
                  </c:pt>
                  <c:pt idx="834">
                    <c:v>30حمل</c:v>
                  </c:pt>
                  <c:pt idx="835">
                    <c:v>31 قوس</c:v>
                  </c:pt>
                  <c:pt idx="836">
                    <c:v>30قوس </c:v>
                  </c:pt>
                  <c:pt idx="837">
                    <c:v>30قوس </c:v>
                  </c:pt>
                  <c:pt idx="838">
                    <c:v>30قوس</c:v>
                  </c:pt>
                  <c:pt idx="840">
                    <c:v>تاریخ ختم </c:v>
                  </c:pt>
                  <c:pt idx="841">
                    <c:v>30دلو</c:v>
                  </c:pt>
                  <c:pt idx="842">
                    <c:v>30حمل</c:v>
                  </c:pt>
                  <c:pt idx="843">
                    <c:v>31 قوس</c:v>
                  </c:pt>
                  <c:pt idx="844">
                    <c:v>30قوس </c:v>
                  </c:pt>
                  <c:pt idx="845">
                    <c:v>30قوس </c:v>
                  </c:pt>
                  <c:pt idx="846">
                    <c:v>30قوس</c:v>
                  </c:pt>
                  <c:pt idx="848">
                    <c:v>تاریخ ختم </c:v>
                  </c:pt>
                  <c:pt idx="849">
                    <c:v>30دلو</c:v>
                  </c:pt>
                  <c:pt idx="850">
                    <c:v>30حمل</c:v>
                  </c:pt>
                  <c:pt idx="851">
                    <c:v>31 قوس</c:v>
                  </c:pt>
                  <c:pt idx="852">
                    <c:v>30قوس </c:v>
                  </c:pt>
                  <c:pt idx="853">
                    <c:v>30قوس </c:v>
                  </c:pt>
                  <c:pt idx="855">
                    <c:v>30عقرب</c:v>
                  </c:pt>
                  <c:pt idx="856">
                    <c:v>30قوس</c:v>
                  </c:pt>
                  <c:pt idx="857">
                    <c:v>30سنبله </c:v>
                  </c:pt>
                  <c:pt idx="858">
                    <c:v>30سنبله </c:v>
                  </c:pt>
                  <c:pt idx="859">
                    <c:v>30عقرب</c:v>
                  </c:pt>
                  <c:pt idx="860">
                    <c:v>30قوس</c:v>
                  </c:pt>
                  <c:pt idx="862">
                    <c:v>تاریخ ختم </c:v>
                  </c:pt>
                  <c:pt idx="863">
                    <c:v>30دلو</c:v>
                  </c:pt>
                  <c:pt idx="864">
                    <c:v>30حمل</c:v>
                  </c:pt>
                  <c:pt idx="865">
                    <c:v>31 قوس</c:v>
                  </c:pt>
                  <c:pt idx="866">
                    <c:v>30قوس </c:v>
                  </c:pt>
                  <c:pt idx="867">
                    <c:v>30قوس </c:v>
                  </c:pt>
                  <c:pt idx="869">
                    <c:v>30عقرب</c:v>
                  </c:pt>
                  <c:pt idx="870">
                    <c:v>30قوس</c:v>
                  </c:pt>
                  <c:pt idx="871">
                    <c:v>30سنبله </c:v>
                  </c:pt>
                  <c:pt idx="872">
                    <c:v>30سنبله </c:v>
                  </c:pt>
                  <c:pt idx="873">
                    <c:v>30عقرب</c:v>
                  </c:pt>
                  <c:pt idx="874">
                    <c:v>30قوس</c:v>
                  </c:pt>
                  <c:pt idx="878">
                    <c:v> -   </c:v>
                  </c:pt>
                  <c:pt idx="879">
                    <c:v> -   </c:v>
                  </c:pt>
                  <c:pt idx="881">
                    <c:v>تاریخ ختم </c:v>
                  </c:pt>
                  <c:pt idx="882">
                    <c:v>30قوس</c:v>
                  </c:pt>
                  <c:pt idx="883">
                    <c:v>30قوس</c:v>
                  </c:pt>
                  <c:pt idx="884">
                    <c:v>30قوس</c:v>
                  </c:pt>
                  <c:pt idx="885">
                    <c:v>30قوس</c:v>
                  </c:pt>
                  <c:pt idx="886">
                    <c:v>30قوس</c:v>
                  </c:pt>
                  <c:pt idx="887">
                    <c:v>30قوس</c:v>
                  </c:pt>
                  <c:pt idx="888">
                    <c:v>30قوس</c:v>
                  </c:pt>
                  <c:pt idx="890">
                    <c:v>30قوس</c:v>
                  </c:pt>
                  <c:pt idx="891">
                    <c:v>30قوس</c:v>
                  </c:pt>
                  <c:pt idx="892">
                    <c:v>30قوس</c:v>
                  </c:pt>
                  <c:pt idx="893">
                    <c:v>30قوس</c:v>
                  </c:pt>
                  <c:pt idx="894">
                    <c:v>30قوس</c:v>
                  </c:pt>
                  <c:pt idx="895">
                    <c:v>30قوس</c:v>
                  </c:pt>
                  <c:pt idx="896">
                    <c:v>30قوس</c:v>
                  </c:pt>
                  <c:pt idx="898">
                    <c:v>30قوس</c:v>
                  </c:pt>
                  <c:pt idx="899">
                    <c:v>30قوس</c:v>
                  </c:pt>
                  <c:pt idx="900">
                    <c:v>30قوس</c:v>
                  </c:pt>
                  <c:pt idx="901">
                    <c:v>30قوس</c:v>
                  </c:pt>
                  <c:pt idx="902">
                    <c:v>30قوس</c:v>
                  </c:pt>
                  <c:pt idx="903">
                    <c:v>30قوس</c:v>
                  </c:pt>
                  <c:pt idx="904">
                    <c:v>30قوس</c:v>
                  </c:pt>
                  <c:pt idx="906">
                    <c:v>30قوس</c:v>
                  </c:pt>
                  <c:pt idx="907">
                    <c:v>30قوس</c:v>
                  </c:pt>
                  <c:pt idx="908">
                    <c:v>30قوس</c:v>
                  </c:pt>
                  <c:pt idx="909">
                    <c:v>30قوس</c:v>
                  </c:pt>
                  <c:pt idx="910">
                    <c:v>30قوس</c:v>
                  </c:pt>
                  <c:pt idx="911">
                    <c:v>30قوس</c:v>
                  </c:pt>
                  <c:pt idx="913">
                    <c:v>30قوس</c:v>
                  </c:pt>
                  <c:pt idx="914">
                    <c:v>30قوس</c:v>
                  </c:pt>
                  <c:pt idx="915">
                    <c:v>30قوس</c:v>
                  </c:pt>
                  <c:pt idx="916">
                    <c:v>30قوس</c:v>
                  </c:pt>
                  <c:pt idx="917">
                    <c:v>30قوس</c:v>
                  </c:pt>
                  <c:pt idx="918">
                    <c:v>30قوس</c:v>
                  </c:pt>
                  <c:pt idx="919">
                    <c:v>30قوس</c:v>
                  </c:pt>
                  <c:pt idx="921">
                    <c:v>30قوس</c:v>
                  </c:pt>
                  <c:pt idx="922">
                    <c:v>30قوس</c:v>
                  </c:pt>
                  <c:pt idx="923">
                    <c:v>30قوس</c:v>
                  </c:pt>
                  <c:pt idx="924">
                    <c:v>30قوس</c:v>
                  </c:pt>
                  <c:pt idx="925">
                    <c:v>30قوس</c:v>
                  </c:pt>
                  <c:pt idx="927">
                    <c:v>30قوس</c:v>
                  </c:pt>
                  <c:pt idx="928">
                    <c:v>30قوس</c:v>
                  </c:pt>
                  <c:pt idx="929">
                    <c:v>30قوس</c:v>
                  </c:pt>
                  <c:pt idx="930">
                    <c:v>30قوس</c:v>
                  </c:pt>
                  <c:pt idx="931">
                    <c:v>30قوس</c:v>
                  </c:pt>
                  <c:pt idx="932">
                    <c:v>30قوس</c:v>
                  </c:pt>
                  <c:pt idx="933">
                    <c:v>30قوس</c:v>
                  </c:pt>
                  <c:pt idx="934">
                    <c:v>30قوس</c:v>
                  </c:pt>
                  <c:pt idx="936">
                    <c:v>30قوس</c:v>
                  </c:pt>
                  <c:pt idx="937">
                    <c:v>30قوس</c:v>
                  </c:pt>
                  <c:pt idx="938">
                    <c:v>30قوس</c:v>
                  </c:pt>
                  <c:pt idx="939">
                    <c:v>30قوس</c:v>
                  </c:pt>
                  <c:pt idx="940">
                    <c:v>30قوس</c:v>
                  </c:pt>
                  <c:pt idx="941">
                    <c:v>30قوس</c:v>
                  </c:pt>
                  <c:pt idx="942">
                    <c:v>30قوس</c:v>
                  </c:pt>
                  <c:pt idx="944">
                    <c:v>30قوس</c:v>
                  </c:pt>
                  <c:pt idx="945">
                    <c:v>30قوس</c:v>
                  </c:pt>
                  <c:pt idx="946">
                    <c:v>30قوس</c:v>
                  </c:pt>
                  <c:pt idx="947">
                    <c:v>30قوس</c:v>
                  </c:pt>
                  <c:pt idx="948">
                    <c:v>30قوس</c:v>
                  </c:pt>
                  <c:pt idx="949">
                    <c:v>30قوس</c:v>
                  </c:pt>
                  <c:pt idx="950">
                    <c:v>30قوس</c:v>
                  </c:pt>
                  <c:pt idx="952">
                    <c:v>30قوس</c:v>
                  </c:pt>
                  <c:pt idx="953">
                    <c:v>30قوس</c:v>
                  </c:pt>
                  <c:pt idx="954">
                    <c:v>30قوس</c:v>
                  </c:pt>
                  <c:pt idx="955">
                    <c:v>30قوس</c:v>
                  </c:pt>
                  <c:pt idx="956">
                    <c:v>30قوس</c:v>
                  </c:pt>
                  <c:pt idx="957">
                    <c:v>30قوس</c:v>
                  </c:pt>
                  <c:pt idx="958">
                    <c:v>30قوس</c:v>
                  </c:pt>
                  <c:pt idx="959">
                    <c:v>30قوس</c:v>
                  </c:pt>
                  <c:pt idx="961">
                    <c:v>30قوس</c:v>
                  </c:pt>
                  <c:pt idx="962">
                    <c:v>30قوس</c:v>
                  </c:pt>
                  <c:pt idx="963">
                    <c:v>30قوس</c:v>
                  </c:pt>
                  <c:pt idx="964">
                    <c:v>30قوس</c:v>
                  </c:pt>
                  <c:pt idx="965">
                    <c:v>30قوس</c:v>
                  </c:pt>
                  <c:pt idx="966">
                    <c:v>30قوس</c:v>
                  </c:pt>
                  <c:pt idx="967">
                    <c:v>30قوس</c:v>
                  </c:pt>
                  <c:pt idx="969">
                    <c:v>30قوس</c:v>
                  </c:pt>
                  <c:pt idx="970">
                    <c:v>30قوس</c:v>
                  </c:pt>
                  <c:pt idx="971">
                    <c:v>30قوس</c:v>
                  </c:pt>
                  <c:pt idx="972">
                    <c:v>30قوس</c:v>
                  </c:pt>
                  <c:pt idx="973">
                    <c:v>30قوس</c:v>
                  </c:pt>
                  <c:pt idx="974">
                    <c:v>30قوس</c:v>
                  </c:pt>
                  <c:pt idx="975">
                    <c:v>30قوس</c:v>
                  </c:pt>
                  <c:pt idx="977">
                    <c:v>30قوس</c:v>
                  </c:pt>
                  <c:pt idx="978">
                    <c:v>30قوس</c:v>
                  </c:pt>
                  <c:pt idx="979">
                    <c:v>30قوس</c:v>
                  </c:pt>
                  <c:pt idx="980">
                    <c:v>30قوس</c:v>
                  </c:pt>
                  <c:pt idx="981">
                    <c:v>30قوس</c:v>
                  </c:pt>
                  <c:pt idx="982">
                    <c:v>30قوس</c:v>
                  </c:pt>
                  <c:pt idx="983">
                    <c:v>30قوس</c:v>
                  </c:pt>
                  <c:pt idx="984">
                    <c:v>30قوس</c:v>
                  </c:pt>
                  <c:pt idx="985">
                    <c:v>30قوس</c:v>
                  </c:pt>
                  <c:pt idx="987">
                    <c:v>30قوس</c:v>
                  </c:pt>
                  <c:pt idx="988">
                    <c:v>30قوس</c:v>
                  </c:pt>
                  <c:pt idx="989">
                    <c:v>30قوس</c:v>
                  </c:pt>
                  <c:pt idx="990">
                    <c:v>30قوس</c:v>
                  </c:pt>
                  <c:pt idx="991">
                    <c:v>30قوس</c:v>
                  </c:pt>
                  <c:pt idx="992">
                    <c:v>30قوس</c:v>
                  </c:pt>
                  <c:pt idx="993">
                    <c:v>30قوس</c:v>
                  </c:pt>
                  <c:pt idx="995">
                    <c:v>30قوس</c:v>
                  </c:pt>
                  <c:pt idx="996">
                    <c:v>30قوس</c:v>
                  </c:pt>
                  <c:pt idx="997">
                    <c:v>30قوس</c:v>
                  </c:pt>
                  <c:pt idx="998">
                    <c:v>30قوس</c:v>
                  </c:pt>
                  <c:pt idx="999">
                    <c:v>30قوس</c:v>
                  </c:pt>
                  <c:pt idx="1000">
                    <c:v>30قوس</c:v>
                  </c:pt>
                  <c:pt idx="1002">
                    <c:v>1جدی</c:v>
                  </c:pt>
                  <c:pt idx="1003">
                    <c:v>1جدی</c:v>
                  </c:pt>
                  <c:pt idx="1004">
                    <c:v>1جدی</c:v>
                  </c:pt>
                  <c:pt idx="1005">
                    <c:v>1جدی</c:v>
                  </c:pt>
                  <c:pt idx="1006">
                    <c:v>1جدی</c:v>
                  </c:pt>
                  <c:pt idx="1007">
                    <c:v>1جدی</c:v>
                  </c:pt>
                  <c:pt idx="1008">
                    <c:v>1جدی</c:v>
                  </c:pt>
                  <c:pt idx="1009">
                    <c:v>1جدی</c:v>
                  </c:pt>
                  <c:pt idx="1010">
                    <c:v>1جدی</c:v>
                  </c:pt>
                  <c:pt idx="1011">
                    <c:v>1جدی</c:v>
                  </c:pt>
                  <c:pt idx="1012">
                    <c:v>1جدی</c:v>
                  </c:pt>
                  <c:pt idx="1013">
                    <c:v>1جدی</c:v>
                  </c:pt>
                  <c:pt idx="1014">
                    <c:v>1جدی</c:v>
                  </c:pt>
                  <c:pt idx="1015">
                    <c:v>1جدی</c:v>
                  </c:pt>
                  <c:pt idx="1016">
                    <c:v>1جدی</c:v>
                  </c:pt>
                  <c:pt idx="1018">
                    <c:v>30قوس</c:v>
                  </c:pt>
                  <c:pt idx="1019">
                    <c:v>30قوس</c:v>
                  </c:pt>
                  <c:pt idx="1020">
                    <c:v>30قوس</c:v>
                  </c:pt>
                  <c:pt idx="1021">
                    <c:v>30قوس</c:v>
                  </c:pt>
                  <c:pt idx="1022">
                    <c:v>30قوس</c:v>
                  </c:pt>
                  <c:pt idx="1023">
                    <c:v>30قوس</c:v>
                  </c:pt>
                  <c:pt idx="1024">
                    <c:v>30قوس</c:v>
                  </c:pt>
                  <c:pt idx="1026">
                    <c:v>30قوس</c:v>
                  </c:pt>
                  <c:pt idx="1027">
                    <c:v>30قوس</c:v>
                  </c:pt>
                  <c:pt idx="1028">
                    <c:v>30قوس</c:v>
                  </c:pt>
                  <c:pt idx="1029">
                    <c:v>30قوس</c:v>
                  </c:pt>
                  <c:pt idx="1030">
                    <c:v>30قوس</c:v>
                  </c:pt>
                  <c:pt idx="1031">
                    <c:v>30قوس</c:v>
                  </c:pt>
                  <c:pt idx="1032">
                    <c:v>30قوس</c:v>
                  </c:pt>
                  <c:pt idx="1033">
                    <c:v>30قوس</c:v>
                  </c:pt>
                  <c:pt idx="1035">
                    <c:v>30قوس</c:v>
                  </c:pt>
                  <c:pt idx="1036">
                    <c:v>30قوس</c:v>
                  </c:pt>
                  <c:pt idx="1037">
                    <c:v>30قوس</c:v>
                  </c:pt>
                  <c:pt idx="1038">
                    <c:v>30قوس</c:v>
                  </c:pt>
                  <c:pt idx="1039">
                    <c:v>30قوس</c:v>
                  </c:pt>
                  <c:pt idx="1040">
                    <c:v>30قوس</c:v>
                  </c:pt>
                  <c:pt idx="1041">
                    <c:v>30قوس</c:v>
                  </c:pt>
                  <c:pt idx="1043">
                    <c:v>30قوس</c:v>
                  </c:pt>
                  <c:pt idx="1044">
                    <c:v>30قوس</c:v>
                  </c:pt>
                  <c:pt idx="1045">
                    <c:v>30قوس</c:v>
                  </c:pt>
                  <c:pt idx="1046">
                    <c:v>30قوس</c:v>
                  </c:pt>
                  <c:pt idx="1047">
                    <c:v>30قوس</c:v>
                  </c:pt>
                  <c:pt idx="1048">
                    <c:v>30قوس</c:v>
                  </c:pt>
                  <c:pt idx="1049">
                    <c:v>30قوس</c:v>
                  </c:pt>
                  <c:pt idx="1050">
                    <c:v>30قوس</c:v>
                  </c:pt>
                  <c:pt idx="1052">
                    <c:v>30قوس</c:v>
                  </c:pt>
                  <c:pt idx="1053">
                    <c:v>30قوس</c:v>
                  </c:pt>
                  <c:pt idx="1054">
                    <c:v>30قوس</c:v>
                  </c:pt>
                  <c:pt idx="1055">
                    <c:v>30قوس</c:v>
                  </c:pt>
                  <c:pt idx="1056">
                    <c:v>30قوس</c:v>
                  </c:pt>
                  <c:pt idx="1057">
                    <c:v>30قوس</c:v>
                  </c:pt>
                  <c:pt idx="1058">
                    <c:v>30قوس</c:v>
                  </c:pt>
                  <c:pt idx="1060">
                    <c:v>30قوس</c:v>
                  </c:pt>
                  <c:pt idx="1061">
                    <c:v>30قوس</c:v>
                  </c:pt>
                  <c:pt idx="1062">
                    <c:v>30قوس</c:v>
                  </c:pt>
                  <c:pt idx="1063">
                    <c:v>30قوس</c:v>
                  </c:pt>
                  <c:pt idx="1064">
                    <c:v>30قوس</c:v>
                  </c:pt>
                  <c:pt idx="1065">
                    <c:v>30قوس</c:v>
                  </c:pt>
                  <c:pt idx="1066">
                    <c:v>30قوس</c:v>
                  </c:pt>
                  <c:pt idx="1068">
                    <c:v>30قوس</c:v>
                  </c:pt>
                  <c:pt idx="1069">
                    <c:v>30قوس</c:v>
                  </c:pt>
                  <c:pt idx="1070">
                    <c:v>30قوس</c:v>
                  </c:pt>
                  <c:pt idx="1071">
                    <c:v>30قوس</c:v>
                  </c:pt>
                  <c:pt idx="1072">
                    <c:v>30قوس</c:v>
                  </c:pt>
                  <c:pt idx="1073">
                    <c:v>30قوس</c:v>
                  </c:pt>
                  <c:pt idx="1074">
                    <c:v>30قوس</c:v>
                  </c:pt>
                  <c:pt idx="1076">
                    <c:v>30قوس</c:v>
                  </c:pt>
                  <c:pt idx="1077">
                    <c:v>30قوس</c:v>
                  </c:pt>
                  <c:pt idx="1078">
                    <c:v>30قوس</c:v>
                  </c:pt>
                  <c:pt idx="1079">
                    <c:v>30قوس</c:v>
                  </c:pt>
                  <c:pt idx="1080">
                    <c:v>30قوس</c:v>
                  </c:pt>
                  <c:pt idx="1081">
                    <c:v>30قوس</c:v>
                  </c:pt>
                  <c:pt idx="1082">
                    <c:v>30قوس</c:v>
                  </c:pt>
                  <c:pt idx="1084">
                    <c:v>30قوس</c:v>
                  </c:pt>
                  <c:pt idx="1085">
                    <c:v>30قوس</c:v>
                  </c:pt>
                  <c:pt idx="1086">
                    <c:v>30قوس</c:v>
                  </c:pt>
                  <c:pt idx="1087">
                    <c:v>30قوس</c:v>
                  </c:pt>
                  <c:pt idx="1088">
                    <c:v>30قوس</c:v>
                  </c:pt>
                  <c:pt idx="1089">
                    <c:v>30قوس</c:v>
                  </c:pt>
                  <c:pt idx="1090">
                    <c:v>30قوس</c:v>
                  </c:pt>
                  <c:pt idx="1092">
                    <c:v>30قوس</c:v>
                  </c:pt>
                  <c:pt idx="1093">
                    <c:v>30قوس</c:v>
                  </c:pt>
                  <c:pt idx="1094">
                    <c:v>30قوس</c:v>
                  </c:pt>
                  <c:pt idx="1095">
                    <c:v>30قوس</c:v>
                  </c:pt>
                  <c:pt idx="1096">
                    <c:v>30قوس</c:v>
                  </c:pt>
                  <c:pt idx="1097">
                    <c:v>30قوس</c:v>
                  </c:pt>
                  <c:pt idx="1099">
                    <c:v>30قوس</c:v>
                  </c:pt>
                  <c:pt idx="1100">
                    <c:v>30قوس</c:v>
                  </c:pt>
                  <c:pt idx="1101">
                    <c:v>30قوس</c:v>
                  </c:pt>
                  <c:pt idx="1102">
                    <c:v>30قوس</c:v>
                  </c:pt>
                  <c:pt idx="1103">
                    <c:v>30قوس</c:v>
                  </c:pt>
                  <c:pt idx="1104">
                    <c:v>30قوس</c:v>
                  </c:pt>
                  <c:pt idx="1105">
                    <c:v>30قوس</c:v>
                  </c:pt>
                  <c:pt idx="1107">
                    <c:v>30قوس</c:v>
                  </c:pt>
                  <c:pt idx="1108">
                    <c:v>30قوس</c:v>
                  </c:pt>
                  <c:pt idx="1109">
                    <c:v>30قوس</c:v>
                  </c:pt>
                  <c:pt idx="1110">
                    <c:v>30قوس</c:v>
                  </c:pt>
                  <c:pt idx="1111">
                    <c:v>30قوس</c:v>
                  </c:pt>
                  <c:pt idx="1112">
                    <c:v>30قوس</c:v>
                  </c:pt>
                  <c:pt idx="1113">
                    <c:v>30قوس</c:v>
                  </c:pt>
                  <c:pt idx="1115">
                    <c:v> -   </c:v>
                  </c:pt>
                  <c:pt idx="1117">
                    <c:v>تاریخ ختم</c:v>
                  </c:pt>
                  <c:pt idx="1118">
                    <c:v>9/1397</c:v>
                  </c:pt>
                  <c:pt idx="1119">
                    <c:v>9/1397</c:v>
                  </c:pt>
                  <c:pt idx="1120">
                    <c:v>09/1397</c:v>
                  </c:pt>
                  <c:pt idx="1121">
                    <c:v>9/1397</c:v>
                  </c:pt>
                  <c:pt idx="1123">
                    <c:v>تاریخ ختم</c:v>
                  </c:pt>
                  <c:pt idx="1124">
                    <c:v>9/1397</c:v>
                  </c:pt>
                  <c:pt idx="1125">
                    <c:v>9/1397</c:v>
                  </c:pt>
                  <c:pt idx="1127">
                    <c:v>تاریخ ختم</c:v>
                  </c:pt>
                  <c:pt idx="1128">
                    <c:v>9/1397</c:v>
                  </c:pt>
                  <c:pt idx="1130">
                    <c:v> -   </c:v>
                  </c:pt>
                  <c:pt idx="1132">
                    <c:v>9/1397</c:v>
                  </c:pt>
                  <c:pt idx="1133">
                    <c:v>9/1397</c:v>
                  </c:pt>
                  <c:pt idx="1155">
                    <c:v>                منظور کننده             </c:v>
                  </c:pt>
                  <c:pt idx="1156">
                    <c:v>نصیراحمد درانی  </c:v>
                  </c:pt>
                  <c:pt idx="1157">
                    <c:v> وزیر زراعت، آبیاری ومالداری</c:v>
                  </c:pt>
                </c:lvl>
                <c:lvl>
                  <c:pt idx="2">
                    <c:v>کمیت</c:v>
                  </c:pt>
                  <c:pt idx="4">
                    <c:v>8</c:v>
                  </c:pt>
                  <c:pt idx="5">
                    <c:v>80</c:v>
                  </c:pt>
                  <c:pt idx="6">
                    <c:v>0</c:v>
                  </c:pt>
                  <c:pt idx="8">
                    <c:v>کمیت</c:v>
                  </c:pt>
                  <c:pt idx="9">
                    <c:v>10</c:v>
                  </c:pt>
                  <c:pt idx="10">
                    <c:v>100</c:v>
                  </c:pt>
                  <c:pt idx="13">
                    <c:v>کمیت</c:v>
                  </c:pt>
                  <c:pt idx="14">
                    <c:v>4</c:v>
                  </c:pt>
                  <c:pt idx="15">
                    <c:v>40</c:v>
                  </c:pt>
                  <c:pt idx="16">
                    <c:v>200</c:v>
                  </c:pt>
                  <c:pt idx="17">
                    <c:v>0</c:v>
                  </c:pt>
                  <c:pt idx="19">
                    <c:v>کمیت</c:v>
                  </c:pt>
                  <c:pt idx="20">
                    <c:v>4</c:v>
                  </c:pt>
                  <c:pt idx="21">
                    <c:v>40</c:v>
                  </c:pt>
                  <c:pt idx="24">
                    <c:v>کمیت</c:v>
                  </c:pt>
                  <c:pt idx="25">
                    <c:v>6</c:v>
                  </c:pt>
                  <c:pt idx="26">
                    <c:v>60</c:v>
                  </c:pt>
                  <c:pt idx="27">
                    <c:v>0</c:v>
                  </c:pt>
                  <c:pt idx="29">
                    <c:v>کمیت</c:v>
                  </c:pt>
                  <c:pt idx="30">
                    <c:v>2</c:v>
                  </c:pt>
                  <c:pt idx="33">
                    <c:v>کمیت</c:v>
                  </c:pt>
                  <c:pt idx="34">
                    <c:v>1</c:v>
                  </c:pt>
                  <c:pt idx="37">
                    <c:v>کمیت</c:v>
                  </c:pt>
                  <c:pt idx="38">
                    <c:v>1</c:v>
                  </c:pt>
                  <c:pt idx="41">
                    <c:v>کمیت</c:v>
                  </c:pt>
                  <c:pt idx="42">
                    <c:v>10</c:v>
                  </c:pt>
                  <c:pt idx="43">
                    <c:v>50</c:v>
                  </c:pt>
                  <c:pt idx="44">
                    <c:v>200</c:v>
                  </c:pt>
                  <c:pt idx="47">
                    <c:v>کمیت</c:v>
                  </c:pt>
                  <c:pt idx="48">
                    <c:v>18</c:v>
                  </c:pt>
                  <c:pt idx="49">
                    <c:v>180</c:v>
                  </c:pt>
                  <c:pt idx="50">
                    <c:v>5000</c:v>
                  </c:pt>
                  <c:pt idx="51">
                    <c:v>900</c:v>
                  </c:pt>
                  <c:pt idx="52">
                    <c:v>100</c:v>
                  </c:pt>
                  <c:pt idx="54">
                    <c:v>کمیت</c:v>
                  </c:pt>
                  <c:pt idx="55">
                    <c:v>4</c:v>
                  </c:pt>
                  <c:pt idx="56">
                    <c:v>40</c:v>
                  </c:pt>
                  <c:pt idx="59">
                    <c:v>کمیت</c:v>
                  </c:pt>
                  <c:pt idx="60">
                    <c:v>6</c:v>
                  </c:pt>
                  <c:pt idx="61">
                    <c:v>60</c:v>
                  </c:pt>
                  <c:pt idx="64">
                    <c:v>کمیت</c:v>
                  </c:pt>
                  <c:pt idx="65">
                    <c:v>2</c:v>
                  </c:pt>
                  <c:pt idx="70">
                    <c:v>تعداد</c:v>
                  </c:pt>
                  <c:pt idx="72">
                    <c:v>1</c:v>
                  </c:pt>
                  <c:pt idx="73">
                    <c:v>20</c:v>
                  </c:pt>
                  <c:pt idx="74">
                    <c:v>40</c:v>
                  </c:pt>
                  <c:pt idx="75">
                    <c:v>60</c:v>
                  </c:pt>
                  <c:pt idx="76">
                    <c:v>300</c:v>
                  </c:pt>
                  <c:pt idx="77">
                    <c:v>600000</c:v>
                  </c:pt>
                  <c:pt idx="78">
                    <c:v>10</c:v>
                  </c:pt>
                  <c:pt idx="79">
                    <c:v>50000</c:v>
                  </c:pt>
                  <c:pt idx="80">
                    <c:v>50000</c:v>
                  </c:pt>
                  <c:pt idx="81">
                    <c:v>15</c:v>
                  </c:pt>
                  <c:pt idx="82">
                    <c:v>12</c:v>
                  </c:pt>
                  <c:pt idx="83">
                    <c:v>50000</c:v>
                  </c:pt>
                  <c:pt idx="84">
                    <c:v>1</c:v>
                  </c:pt>
                  <c:pt idx="86">
                    <c:v>کمیت</c:v>
                  </c:pt>
                  <c:pt idx="87">
                    <c:v>40</c:v>
                  </c:pt>
                  <c:pt idx="88">
                    <c:v>1</c:v>
                  </c:pt>
                  <c:pt idx="89">
                    <c:v>1</c:v>
                  </c:pt>
                  <c:pt idx="90">
                    <c:v>66</c:v>
                  </c:pt>
                  <c:pt idx="91">
                    <c:v>76000</c:v>
                  </c:pt>
                  <c:pt idx="92">
                    <c:v>76000</c:v>
                  </c:pt>
                  <c:pt idx="93">
                    <c:v>66000</c:v>
                  </c:pt>
                  <c:pt idx="94">
                    <c:v>1</c:v>
                  </c:pt>
                  <c:pt idx="95">
                    <c:v>66000</c:v>
                  </c:pt>
                  <c:pt idx="96">
                    <c:v>66000</c:v>
                  </c:pt>
                  <c:pt idx="97">
                    <c:v>1320000</c:v>
                  </c:pt>
                  <c:pt idx="98">
                    <c:v>66000</c:v>
                  </c:pt>
                  <c:pt idx="99">
                    <c:v>40000</c:v>
                  </c:pt>
                  <c:pt idx="100">
                    <c:v>15</c:v>
                  </c:pt>
                  <c:pt idx="101">
                    <c:v>20000</c:v>
                  </c:pt>
                  <c:pt idx="102">
                    <c:v>200</c:v>
                  </c:pt>
                  <c:pt idx="103">
                    <c:v>20000</c:v>
                  </c:pt>
                  <c:pt idx="104">
                    <c:v> 1 </c:v>
                  </c:pt>
                  <c:pt idx="105">
                    <c:v> 10 </c:v>
                  </c:pt>
                  <c:pt idx="106">
                    <c:v>50000</c:v>
                  </c:pt>
                  <c:pt idx="107">
                    <c:v>50000</c:v>
                  </c:pt>
                  <c:pt idx="108">
                    <c:v>15</c:v>
                  </c:pt>
                  <c:pt idx="109">
                    <c:v>12</c:v>
                  </c:pt>
                  <c:pt idx="110">
                    <c:v>50000</c:v>
                  </c:pt>
                  <c:pt idx="111">
                    <c:v>200</c:v>
                  </c:pt>
                  <c:pt idx="112">
                    <c:v>1</c:v>
                  </c:pt>
                  <c:pt idx="114">
                    <c:v>کمیت</c:v>
                  </c:pt>
                  <c:pt idx="115">
                    <c:v>1</c:v>
                  </c:pt>
                  <c:pt idx="116">
                    <c:v>20</c:v>
                  </c:pt>
                  <c:pt idx="117">
                    <c:v>40</c:v>
                  </c:pt>
                  <c:pt idx="118">
                    <c:v>100</c:v>
                  </c:pt>
                  <c:pt idx="119">
                    <c:v>500</c:v>
                  </c:pt>
                  <c:pt idx="120">
                    <c:v>1000000</c:v>
                  </c:pt>
                  <c:pt idx="121">
                    <c:v>10</c:v>
                  </c:pt>
                  <c:pt idx="122">
                    <c:v>50000</c:v>
                  </c:pt>
                  <c:pt idx="123">
                    <c:v>50000</c:v>
                  </c:pt>
                  <c:pt idx="124">
                    <c:v>15</c:v>
                  </c:pt>
                  <c:pt idx="125">
                    <c:v>12</c:v>
                  </c:pt>
                  <c:pt idx="126">
                    <c:v>50000</c:v>
                  </c:pt>
                  <c:pt idx="127">
                    <c:v>1</c:v>
                  </c:pt>
                  <c:pt idx="129">
                    <c:v>کمیت</c:v>
                  </c:pt>
                  <c:pt idx="130">
                    <c:v>1</c:v>
                  </c:pt>
                  <c:pt idx="131">
                    <c:v>50</c:v>
                  </c:pt>
                  <c:pt idx="132">
                    <c:v>60000</c:v>
                  </c:pt>
                  <c:pt idx="133">
                    <c:v>60000</c:v>
                  </c:pt>
                  <c:pt idx="134">
                    <c:v>50000</c:v>
                  </c:pt>
                  <c:pt idx="135">
                    <c:v>1</c:v>
                  </c:pt>
                  <c:pt idx="136">
                    <c:v>50000</c:v>
                  </c:pt>
                  <c:pt idx="137">
                    <c:v>50000</c:v>
                  </c:pt>
                  <c:pt idx="138">
                    <c:v>1000000</c:v>
                  </c:pt>
                  <c:pt idx="139">
                    <c:v>50000</c:v>
                  </c:pt>
                  <c:pt idx="140">
                    <c:v>40000</c:v>
                  </c:pt>
                  <c:pt idx="141">
                    <c:v>15</c:v>
                  </c:pt>
                  <c:pt idx="142">
                    <c:v>20000</c:v>
                  </c:pt>
                  <c:pt idx="143">
                    <c:v>200</c:v>
                  </c:pt>
                  <c:pt idx="144">
                    <c:v>20000</c:v>
                  </c:pt>
                  <c:pt idx="145">
                    <c:v> 1 </c:v>
                  </c:pt>
                  <c:pt idx="146">
                    <c:v> 10 </c:v>
                  </c:pt>
                  <c:pt idx="147">
                    <c:v>50000</c:v>
                  </c:pt>
                  <c:pt idx="148">
                    <c:v>50000</c:v>
                  </c:pt>
                  <c:pt idx="149">
                    <c:v>50000</c:v>
                  </c:pt>
                  <c:pt idx="150">
                    <c:v>10</c:v>
                  </c:pt>
                  <c:pt idx="151">
                    <c:v>12</c:v>
                  </c:pt>
                  <c:pt idx="152">
                    <c:v>100000</c:v>
                  </c:pt>
                  <c:pt idx="153">
                    <c:v>2</c:v>
                  </c:pt>
                  <c:pt idx="154">
                    <c:v>200</c:v>
                  </c:pt>
                  <c:pt idx="155">
                    <c:v>1</c:v>
                  </c:pt>
                  <c:pt idx="157">
                    <c:v>کمیت</c:v>
                  </c:pt>
                  <c:pt idx="158">
                    <c:v> 1 </c:v>
                  </c:pt>
                  <c:pt idx="159">
                    <c:v> 20 </c:v>
                  </c:pt>
                  <c:pt idx="160">
                    <c:v>40</c:v>
                  </c:pt>
                  <c:pt idx="161">
                    <c:v>100</c:v>
                  </c:pt>
                  <c:pt idx="162">
                    <c:v>500</c:v>
                  </c:pt>
                  <c:pt idx="163">
                    <c:v>1000000</c:v>
                  </c:pt>
                  <c:pt idx="164">
                    <c:v>20</c:v>
                  </c:pt>
                  <c:pt idx="165">
                    <c:v> 100,000 </c:v>
                  </c:pt>
                  <c:pt idx="166">
                    <c:v> 100,000 </c:v>
                  </c:pt>
                  <c:pt idx="167">
                    <c:v> 30 </c:v>
                  </c:pt>
                  <c:pt idx="168">
                    <c:v> 24 </c:v>
                  </c:pt>
                  <c:pt idx="169">
                    <c:v> 100,000 </c:v>
                  </c:pt>
                  <c:pt idx="170">
                    <c:v> 1 </c:v>
                  </c:pt>
                  <c:pt idx="172">
                    <c:v>کمیت</c:v>
                  </c:pt>
                  <c:pt idx="173">
                    <c:v>40</c:v>
                  </c:pt>
                  <c:pt idx="174">
                    <c:v> 1 </c:v>
                  </c:pt>
                  <c:pt idx="175">
                    <c:v> 1 </c:v>
                  </c:pt>
                  <c:pt idx="176">
                    <c:v> 40,000 </c:v>
                  </c:pt>
                  <c:pt idx="177">
                    <c:v> 1 </c:v>
                  </c:pt>
                  <c:pt idx="178">
                    <c:v> 1 </c:v>
                  </c:pt>
                  <c:pt idx="180">
                    <c:v>کمیت</c:v>
                  </c:pt>
                  <c:pt idx="181">
                    <c:v>40</c:v>
                  </c:pt>
                  <c:pt idx="182">
                    <c:v> 1 </c:v>
                  </c:pt>
                  <c:pt idx="183">
                    <c:v> 1 </c:v>
                  </c:pt>
                  <c:pt idx="184">
                    <c:v> 40,000 </c:v>
                  </c:pt>
                  <c:pt idx="185">
                    <c:v> 1 </c:v>
                  </c:pt>
                  <c:pt idx="187">
                    <c:v>کمیت</c:v>
                  </c:pt>
                  <c:pt idx="188">
                    <c:v> 1 </c:v>
                  </c:pt>
                  <c:pt idx="189">
                    <c:v> 1 </c:v>
                  </c:pt>
                  <c:pt idx="190">
                    <c:v> 1 </c:v>
                  </c:pt>
                  <c:pt idx="191">
                    <c:v> 20 </c:v>
                  </c:pt>
                  <c:pt idx="192">
                    <c:v>50</c:v>
                  </c:pt>
                  <c:pt idx="193">
                    <c:v>60000</c:v>
                  </c:pt>
                  <c:pt idx="194">
                    <c:v>60000</c:v>
                  </c:pt>
                  <c:pt idx="195">
                    <c:v>50000</c:v>
                  </c:pt>
                  <c:pt idx="196">
                    <c:v>1</c:v>
                  </c:pt>
                  <c:pt idx="197">
                    <c:v>50000</c:v>
                  </c:pt>
                  <c:pt idx="198">
                    <c:v>50000</c:v>
                  </c:pt>
                  <c:pt idx="199">
                    <c:v>1000000</c:v>
                  </c:pt>
                  <c:pt idx="200">
                    <c:v>50000</c:v>
                  </c:pt>
                  <c:pt idx="201">
                    <c:v>40000</c:v>
                  </c:pt>
                  <c:pt idx="202">
                    <c:v>15</c:v>
                  </c:pt>
                  <c:pt idx="203">
                    <c:v>20000</c:v>
                  </c:pt>
                  <c:pt idx="204">
                    <c:v>200</c:v>
                  </c:pt>
                  <c:pt idx="205">
                    <c:v>20000</c:v>
                  </c:pt>
                  <c:pt idx="206">
                    <c:v> 1 </c:v>
                  </c:pt>
                  <c:pt idx="207">
                    <c:v> 10 </c:v>
                  </c:pt>
                  <c:pt idx="208">
                    <c:v> 50,000 </c:v>
                  </c:pt>
                  <c:pt idx="209">
                    <c:v> 50,000 </c:v>
                  </c:pt>
                  <c:pt idx="210">
                    <c:v> 50,000 </c:v>
                  </c:pt>
                  <c:pt idx="211">
                    <c:v> 15 </c:v>
                  </c:pt>
                  <c:pt idx="212">
                    <c:v> 12 </c:v>
                  </c:pt>
                  <c:pt idx="213">
                    <c:v> 200 </c:v>
                  </c:pt>
                  <c:pt idx="214">
                    <c:v> 1 </c:v>
                  </c:pt>
                  <c:pt idx="216">
                    <c:v>کمیت</c:v>
                  </c:pt>
                  <c:pt idx="217">
                    <c:v>1</c:v>
                  </c:pt>
                  <c:pt idx="218">
                    <c:v>40</c:v>
                  </c:pt>
                  <c:pt idx="219">
                    <c:v>50</c:v>
                  </c:pt>
                  <c:pt idx="220">
                    <c:v>60000</c:v>
                  </c:pt>
                  <c:pt idx="221">
                    <c:v>60000</c:v>
                  </c:pt>
                  <c:pt idx="222">
                    <c:v>50000</c:v>
                  </c:pt>
                  <c:pt idx="223">
                    <c:v>1</c:v>
                  </c:pt>
                  <c:pt idx="224">
                    <c:v>50000</c:v>
                  </c:pt>
                  <c:pt idx="225">
                    <c:v>50000</c:v>
                  </c:pt>
                  <c:pt idx="226">
                    <c:v>1000000</c:v>
                  </c:pt>
                  <c:pt idx="227">
                    <c:v>50000</c:v>
                  </c:pt>
                  <c:pt idx="228">
                    <c:v>40000</c:v>
                  </c:pt>
                  <c:pt idx="229">
                    <c:v>15</c:v>
                  </c:pt>
                  <c:pt idx="230">
                    <c:v>20000</c:v>
                  </c:pt>
                  <c:pt idx="231">
                    <c:v>200</c:v>
                  </c:pt>
                  <c:pt idx="232">
                    <c:v>20000</c:v>
                  </c:pt>
                  <c:pt idx="233">
                    <c:v> 1 </c:v>
                  </c:pt>
                  <c:pt idx="234">
                    <c:v>200</c:v>
                  </c:pt>
                  <c:pt idx="235">
                    <c:v>1</c:v>
                  </c:pt>
                  <c:pt idx="237">
                    <c:v>کمیت</c:v>
                  </c:pt>
                  <c:pt idx="238">
                    <c:v>1</c:v>
                  </c:pt>
                  <c:pt idx="239">
                    <c:v>1</c:v>
                  </c:pt>
                  <c:pt idx="240">
                    <c:v>100</c:v>
                  </c:pt>
                  <c:pt idx="241">
                    <c:v>500</c:v>
                  </c:pt>
                  <c:pt idx="242">
                    <c:v>1000000</c:v>
                  </c:pt>
                  <c:pt idx="243">
                    <c:v>1</c:v>
                  </c:pt>
                  <c:pt idx="245">
                    <c:v>کمیت</c:v>
                  </c:pt>
                  <c:pt idx="246">
                    <c:v>1</c:v>
                  </c:pt>
                  <c:pt idx="247">
                    <c:v>1</c:v>
                  </c:pt>
                  <c:pt idx="248">
                    <c:v>100</c:v>
                  </c:pt>
                  <c:pt idx="249">
                    <c:v>500</c:v>
                  </c:pt>
                  <c:pt idx="250">
                    <c:v>1000000</c:v>
                  </c:pt>
                  <c:pt idx="251">
                    <c:v>1</c:v>
                  </c:pt>
                  <c:pt idx="253">
                    <c:v>کمیت</c:v>
                  </c:pt>
                  <c:pt idx="254">
                    <c:v>1</c:v>
                  </c:pt>
                  <c:pt idx="255">
                    <c:v>20</c:v>
                  </c:pt>
                  <c:pt idx="256">
                    <c:v>100</c:v>
                  </c:pt>
                  <c:pt idx="257">
                    <c:v>500</c:v>
                  </c:pt>
                  <c:pt idx="258">
                    <c:v>1000000</c:v>
                  </c:pt>
                  <c:pt idx="259">
                    <c:v>1</c:v>
                  </c:pt>
                  <c:pt idx="261">
                    <c:v>کمیت</c:v>
                  </c:pt>
                  <c:pt idx="262">
                    <c:v>1</c:v>
                  </c:pt>
                  <c:pt idx="263">
                    <c:v>20</c:v>
                  </c:pt>
                  <c:pt idx="264">
                    <c:v>100</c:v>
                  </c:pt>
                  <c:pt idx="265">
                    <c:v>500</c:v>
                  </c:pt>
                  <c:pt idx="266">
                    <c:v>1000000</c:v>
                  </c:pt>
                  <c:pt idx="267">
                    <c:v>1</c:v>
                  </c:pt>
                  <c:pt idx="269">
                    <c:v>کمیت</c:v>
                  </c:pt>
                  <c:pt idx="270">
                    <c:v>1</c:v>
                  </c:pt>
                  <c:pt idx="271">
                    <c:v>20</c:v>
                  </c:pt>
                  <c:pt idx="272">
                    <c:v>100</c:v>
                  </c:pt>
                  <c:pt idx="273">
                    <c:v>500</c:v>
                  </c:pt>
                  <c:pt idx="274">
                    <c:v>1000000</c:v>
                  </c:pt>
                  <c:pt idx="275">
                    <c:v>20</c:v>
                  </c:pt>
                  <c:pt idx="276">
                    <c:v> 100,000 </c:v>
                  </c:pt>
                  <c:pt idx="277">
                    <c:v> 100,000 </c:v>
                  </c:pt>
                  <c:pt idx="278">
                    <c:v> 30 </c:v>
                  </c:pt>
                  <c:pt idx="279">
                    <c:v> 24 </c:v>
                  </c:pt>
                  <c:pt idx="280">
                    <c:v> 100,000 </c:v>
                  </c:pt>
                  <c:pt idx="281">
                    <c:v>1</c:v>
                  </c:pt>
                  <c:pt idx="283">
                    <c:v>کمیت</c:v>
                  </c:pt>
                  <c:pt idx="284">
                    <c:v>1</c:v>
                  </c:pt>
                  <c:pt idx="285">
                    <c:v>20</c:v>
                  </c:pt>
                  <c:pt idx="286">
                    <c:v>100</c:v>
                  </c:pt>
                  <c:pt idx="287">
                    <c:v>500</c:v>
                  </c:pt>
                  <c:pt idx="288">
                    <c:v>1000000</c:v>
                  </c:pt>
                  <c:pt idx="289">
                    <c:v>10</c:v>
                  </c:pt>
                  <c:pt idx="290">
                    <c:v> 50,000 </c:v>
                  </c:pt>
                  <c:pt idx="291">
                    <c:v> 50,000 </c:v>
                  </c:pt>
                  <c:pt idx="292">
                    <c:v> 15 </c:v>
                  </c:pt>
                  <c:pt idx="293">
                    <c:v> 24 </c:v>
                  </c:pt>
                  <c:pt idx="294">
                    <c:v> 50,000 </c:v>
                  </c:pt>
                  <c:pt idx="295">
                    <c:v>1</c:v>
                  </c:pt>
                  <c:pt idx="297">
                    <c:v>1</c:v>
                  </c:pt>
                  <c:pt idx="298">
                    <c:v>1</c:v>
                  </c:pt>
                  <c:pt idx="302">
                    <c:v>کمیت</c:v>
                  </c:pt>
                  <c:pt idx="303">
                    <c:v>2000</c:v>
                  </c:pt>
                  <c:pt idx="304">
                    <c:v>6000</c:v>
                  </c:pt>
                  <c:pt idx="305">
                    <c:v>287</c:v>
                  </c:pt>
                  <c:pt idx="306">
                    <c:v>20</c:v>
                  </c:pt>
                  <c:pt idx="307">
                    <c:v>10000</c:v>
                  </c:pt>
                  <c:pt idx="308">
                    <c:v>2000</c:v>
                  </c:pt>
                  <c:pt idx="309">
                    <c:v>1</c:v>
                  </c:pt>
                  <c:pt idx="311">
                    <c:v>10000</c:v>
                  </c:pt>
                  <c:pt idx="312">
                    <c:v>6000</c:v>
                  </c:pt>
                  <c:pt idx="313">
                    <c:v>250</c:v>
                  </c:pt>
                  <c:pt idx="314">
                    <c:v>11</c:v>
                  </c:pt>
                  <c:pt idx="315">
                    <c:v>10000</c:v>
                  </c:pt>
                  <c:pt idx="316">
                    <c:v>2000</c:v>
                  </c:pt>
                  <c:pt idx="317">
                    <c:v>1</c:v>
                  </c:pt>
                  <c:pt idx="319">
                    <c:v>10000</c:v>
                  </c:pt>
                  <c:pt idx="320">
                    <c:v>2000</c:v>
                  </c:pt>
                  <c:pt idx="321">
                    <c:v>6000</c:v>
                  </c:pt>
                  <c:pt idx="322">
                    <c:v>300</c:v>
                  </c:pt>
                  <c:pt idx="323">
                    <c:v>20</c:v>
                  </c:pt>
                  <c:pt idx="324">
                    <c:v>10000</c:v>
                  </c:pt>
                  <c:pt idx="325">
                    <c:v>1</c:v>
                  </c:pt>
                  <c:pt idx="327">
                    <c:v>60000</c:v>
                  </c:pt>
                  <c:pt idx="328">
                    <c:v>1000</c:v>
                  </c:pt>
                  <c:pt idx="329">
                    <c:v>500</c:v>
                  </c:pt>
                  <c:pt idx="330">
                    <c:v>4000</c:v>
                  </c:pt>
                  <c:pt idx="331">
                    <c:v>1</c:v>
                  </c:pt>
                  <c:pt idx="332">
                    <c:v>1</c:v>
                  </c:pt>
                  <c:pt idx="334">
                    <c:v>8000</c:v>
                  </c:pt>
                  <c:pt idx="335">
                    <c:v>2000</c:v>
                  </c:pt>
                  <c:pt idx="336">
                    <c:v>6000</c:v>
                  </c:pt>
                  <c:pt idx="337">
                    <c:v>250</c:v>
                  </c:pt>
                  <c:pt idx="338">
                    <c:v>12</c:v>
                  </c:pt>
                  <c:pt idx="339">
                    <c:v>1</c:v>
                  </c:pt>
                  <c:pt idx="340">
                    <c:v>1</c:v>
                  </c:pt>
                  <c:pt idx="342">
                    <c:v>8000</c:v>
                  </c:pt>
                  <c:pt idx="346">
                    <c:v>1</c:v>
                  </c:pt>
                  <c:pt idx="348">
                    <c:v>40000</c:v>
                  </c:pt>
                  <c:pt idx="349">
                    <c:v>4000</c:v>
                  </c:pt>
                  <c:pt idx="350">
                    <c:v>20000</c:v>
                  </c:pt>
                  <c:pt idx="351">
                    <c:v>14000</c:v>
                  </c:pt>
                  <c:pt idx="352">
                    <c:v>300</c:v>
                  </c:pt>
                  <c:pt idx="353">
                    <c:v>20</c:v>
                  </c:pt>
                  <c:pt idx="354">
                    <c:v>15000</c:v>
                  </c:pt>
                  <c:pt idx="355">
                    <c:v>1</c:v>
                  </c:pt>
                  <c:pt idx="357">
                    <c:v>6000</c:v>
                  </c:pt>
                  <c:pt idx="358">
                    <c:v>4000</c:v>
                  </c:pt>
                  <c:pt idx="359">
                    <c:v>300</c:v>
                  </c:pt>
                  <c:pt idx="360">
                    <c:v>15</c:v>
                  </c:pt>
                  <c:pt idx="361">
                    <c:v>2000</c:v>
                  </c:pt>
                  <c:pt idx="362">
                    <c:v>1</c:v>
                  </c:pt>
                  <c:pt idx="363">
                    <c:v>1</c:v>
                  </c:pt>
                  <c:pt idx="365">
                    <c:v>10000</c:v>
                  </c:pt>
                  <c:pt idx="366">
                    <c:v>2000</c:v>
                  </c:pt>
                  <c:pt idx="367">
                    <c:v>12000</c:v>
                  </c:pt>
                  <c:pt idx="368">
                    <c:v>300</c:v>
                  </c:pt>
                  <c:pt idx="369">
                    <c:v>15</c:v>
                  </c:pt>
                  <c:pt idx="370">
                    <c:v>20000</c:v>
                  </c:pt>
                  <c:pt idx="371">
                    <c:v>1</c:v>
                  </c:pt>
                  <c:pt idx="373">
                    <c:v>12000</c:v>
                  </c:pt>
                  <c:pt idx="374">
                    <c:v>2000</c:v>
                  </c:pt>
                  <c:pt idx="375">
                    <c:v>20000</c:v>
                  </c:pt>
                  <c:pt idx="376">
                    <c:v>10000</c:v>
                  </c:pt>
                  <c:pt idx="377">
                    <c:v>300</c:v>
                  </c:pt>
                  <c:pt idx="378">
                    <c:v>12</c:v>
                  </c:pt>
                  <c:pt idx="379">
                    <c:v>10000</c:v>
                  </c:pt>
                  <c:pt idx="380">
                    <c:v>1</c:v>
                  </c:pt>
                  <c:pt idx="382">
                    <c:v>10000</c:v>
                  </c:pt>
                  <c:pt idx="383">
                    <c:v>2000</c:v>
                  </c:pt>
                  <c:pt idx="384">
                    <c:v>10000</c:v>
                  </c:pt>
                  <c:pt idx="385">
                    <c:v>300</c:v>
                  </c:pt>
                  <c:pt idx="386">
                    <c:v>20</c:v>
                  </c:pt>
                  <c:pt idx="387">
                    <c:v>10000</c:v>
                  </c:pt>
                  <c:pt idx="388">
                    <c:v>1</c:v>
                  </c:pt>
                  <c:pt idx="390">
                    <c:v>12000</c:v>
                  </c:pt>
                  <c:pt idx="391">
                    <c:v>2000</c:v>
                  </c:pt>
                  <c:pt idx="392">
                    <c:v>10000</c:v>
                  </c:pt>
                  <c:pt idx="393">
                    <c:v>250</c:v>
                  </c:pt>
                  <c:pt idx="394">
                    <c:v>15</c:v>
                  </c:pt>
                  <c:pt idx="395">
                    <c:v>1</c:v>
                  </c:pt>
                  <c:pt idx="396">
                    <c:v>1</c:v>
                  </c:pt>
                  <c:pt idx="398">
                    <c:v>12000</c:v>
                  </c:pt>
                  <c:pt idx="399">
                    <c:v>2000</c:v>
                  </c:pt>
                  <c:pt idx="400">
                    <c:v>10000</c:v>
                  </c:pt>
                  <c:pt idx="401">
                    <c:v>15000</c:v>
                  </c:pt>
                  <c:pt idx="402">
                    <c:v>300</c:v>
                  </c:pt>
                  <c:pt idx="403">
                    <c:v>11</c:v>
                  </c:pt>
                  <c:pt idx="404">
                    <c:v>10000</c:v>
                  </c:pt>
                  <c:pt idx="405">
                    <c:v>1</c:v>
                  </c:pt>
                  <c:pt idx="406">
                    <c:v>1</c:v>
                  </c:pt>
                  <c:pt idx="408">
                    <c:v>10000</c:v>
                  </c:pt>
                  <c:pt idx="409">
                    <c:v>6000</c:v>
                  </c:pt>
                  <c:pt idx="410">
                    <c:v>250</c:v>
                  </c:pt>
                  <c:pt idx="411">
                    <c:v>15</c:v>
                  </c:pt>
                  <c:pt idx="412">
                    <c:v>2000</c:v>
                  </c:pt>
                  <c:pt idx="413">
                    <c:v>1</c:v>
                  </c:pt>
                  <c:pt idx="414">
                    <c:v>1</c:v>
                  </c:pt>
                  <c:pt idx="416">
                    <c:v>20000</c:v>
                  </c:pt>
                  <c:pt idx="417">
                    <c:v>250</c:v>
                  </c:pt>
                  <c:pt idx="418">
                    <c:v>10</c:v>
                  </c:pt>
                  <c:pt idx="419">
                    <c:v>2000</c:v>
                  </c:pt>
                  <c:pt idx="420">
                    <c:v>1</c:v>
                  </c:pt>
                  <c:pt idx="421">
                    <c:v>1</c:v>
                  </c:pt>
                  <c:pt idx="423">
                    <c:v>30000</c:v>
                  </c:pt>
                  <c:pt idx="424">
                    <c:v>4000</c:v>
                  </c:pt>
                  <c:pt idx="425">
                    <c:v>40000</c:v>
                  </c:pt>
                  <c:pt idx="426">
                    <c:v>14000</c:v>
                  </c:pt>
                  <c:pt idx="427">
                    <c:v>300</c:v>
                  </c:pt>
                  <c:pt idx="428">
                    <c:v>20</c:v>
                  </c:pt>
                  <c:pt idx="429">
                    <c:v>15000</c:v>
                  </c:pt>
                  <c:pt idx="430">
                    <c:v>10000</c:v>
                  </c:pt>
                  <c:pt idx="431">
                    <c:v>10000</c:v>
                  </c:pt>
                  <c:pt idx="432">
                    <c:v>10000</c:v>
                  </c:pt>
                  <c:pt idx="433">
                    <c:v>1</c:v>
                  </c:pt>
                  <c:pt idx="434">
                    <c:v>1</c:v>
                  </c:pt>
                  <c:pt idx="435">
                    <c:v>35</c:v>
                  </c:pt>
                  <c:pt idx="436">
                    <c:v>10000</c:v>
                  </c:pt>
                  <c:pt idx="437">
                    <c:v>1</c:v>
                  </c:pt>
                  <c:pt idx="439">
                    <c:v>8000</c:v>
                  </c:pt>
                  <c:pt idx="440">
                    <c:v>6000</c:v>
                  </c:pt>
                  <c:pt idx="441">
                    <c:v>250</c:v>
                  </c:pt>
                  <c:pt idx="442">
                    <c:v>10</c:v>
                  </c:pt>
                  <c:pt idx="443">
                    <c:v>10000</c:v>
                  </c:pt>
                  <c:pt idx="444">
                    <c:v>2000</c:v>
                  </c:pt>
                  <c:pt idx="445">
                    <c:v>1</c:v>
                  </c:pt>
                  <c:pt idx="447">
                    <c:v>8000</c:v>
                  </c:pt>
                  <c:pt idx="448">
                    <c:v>30000</c:v>
                  </c:pt>
                  <c:pt idx="449">
                    <c:v>10000</c:v>
                  </c:pt>
                  <c:pt idx="450">
                    <c:v>300</c:v>
                  </c:pt>
                  <c:pt idx="451">
                    <c:v>15</c:v>
                  </c:pt>
                  <c:pt idx="452">
                    <c:v>10000</c:v>
                  </c:pt>
                  <c:pt idx="453">
                    <c:v>2000</c:v>
                  </c:pt>
                  <c:pt idx="454">
                    <c:v>1</c:v>
                  </c:pt>
                  <c:pt idx="456">
                    <c:v>16000</c:v>
                  </c:pt>
                  <c:pt idx="457">
                    <c:v>4000</c:v>
                  </c:pt>
                  <c:pt idx="458">
                    <c:v>12000</c:v>
                  </c:pt>
                  <c:pt idx="459">
                    <c:v>350</c:v>
                  </c:pt>
                  <c:pt idx="460">
                    <c:v>15</c:v>
                  </c:pt>
                  <c:pt idx="461">
                    <c:v>30000</c:v>
                  </c:pt>
                  <c:pt idx="462">
                    <c:v>1</c:v>
                  </c:pt>
                  <c:pt idx="464">
                    <c:v>12000</c:v>
                  </c:pt>
                  <c:pt idx="465">
                    <c:v>2000</c:v>
                  </c:pt>
                  <c:pt idx="466">
                    <c:v>20000</c:v>
                  </c:pt>
                  <c:pt idx="467">
                    <c:v>12000</c:v>
                  </c:pt>
                  <c:pt idx="468">
                    <c:v>300</c:v>
                  </c:pt>
                  <c:pt idx="469">
                    <c:v>15</c:v>
                  </c:pt>
                  <c:pt idx="470">
                    <c:v>10000</c:v>
                  </c:pt>
                  <c:pt idx="471">
                    <c:v>1</c:v>
                  </c:pt>
                  <c:pt idx="473">
                    <c:v>12000</c:v>
                  </c:pt>
                  <c:pt idx="474">
                    <c:v>10000</c:v>
                  </c:pt>
                  <c:pt idx="475">
                    <c:v>350</c:v>
                  </c:pt>
                  <c:pt idx="476">
                    <c:v>15</c:v>
                  </c:pt>
                  <c:pt idx="477">
                    <c:v>10000</c:v>
                  </c:pt>
                  <c:pt idx="478">
                    <c:v>2000</c:v>
                  </c:pt>
                  <c:pt idx="479">
                    <c:v>1</c:v>
                  </c:pt>
                  <c:pt idx="481">
                    <c:v>20000</c:v>
                  </c:pt>
                  <c:pt idx="482">
                    <c:v>12000</c:v>
                  </c:pt>
                  <c:pt idx="483">
                    <c:v>300</c:v>
                  </c:pt>
                  <c:pt idx="484">
                    <c:v>15</c:v>
                  </c:pt>
                  <c:pt idx="485">
                    <c:v>12000</c:v>
                  </c:pt>
                  <c:pt idx="486">
                    <c:v>4000</c:v>
                  </c:pt>
                  <c:pt idx="487">
                    <c:v>1</c:v>
                  </c:pt>
                  <c:pt idx="489">
                    <c:v>16000</c:v>
                  </c:pt>
                  <c:pt idx="490">
                    <c:v>12000</c:v>
                  </c:pt>
                  <c:pt idx="491">
                    <c:v>300</c:v>
                  </c:pt>
                  <c:pt idx="492">
                    <c:v>15</c:v>
                  </c:pt>
                  <c:pt idx="493">
                    <c:v>10000</c:v>
                  </c:pt>
                  <c:pt idx="494">
                    <c:v>2000</c:v>
                  </c:pt>
                  <c:pt idx="495">
                    <c:v>1</c:v>
                  </c:pt>
                  <c:pt idx="497">
                    <c:v>30000</c:v>
                  </c:pt>
                  <c:pt idx="498">
                    <c:v>10000</c:v>
                  </c:pt>
                  <c:pt idx="499">
                    <c:v>300</c:v>
                  </c:pt>
                  <c:pt idx="500">
                    <c:v>15</c:v>
                  </c:pt>
                  <c:pt idx="501">
                    <c:v>10000</c:v>
                  </c:pt>
                  <c:pt idx="502">
                    <c:v>4000</c:v>
                  </c:pt>
                  <c:pt idx="503">
                    <c:v>1</c:v>
                  </c:pt>
                  <c:pt idx="505">
                    <c:v>28000</c:v>
                  </c:pt>
                  <c:pt idx="506">
                    <c:v>4000</c:v>
                  </c:pt>
                  <c:pt idx="507">
                    <c:v>12000</c:v>
                  </c:pt>
                  <c:pt idx="508">
                    <c:v>300</c:v>
                  </c:pt>
                  <c:pt idx="509">
                    <c:v>15</c:v>
                  </c:pt>
                  <c:pt idx="510">
                    <c:v>20000</c:v>
                  </c:pt>
                  <c:pt idx="511">
                    <c:v>1</c:v>
                  </c:pt>
                  <c:pt idx="513">
                    <c:v>4000</c:v>
                  </c:pt>
                  <c:pt idx="514">
                    <c:v>2000</c:v>
                  </c:pt>
                  <c:pt idx="515">
                    <c:v>300</c:v>
                  </c:pt>
                  <c:pt idx="516">
                    <c:v>10</c:v>
                  </c:pt>
                  <c:pt idx="517">
                    <c:v>10</c:v>
                  </c:pt>
                  <c:pt idx="518">
                    <c:v>1</c:v>
                  </c:pt>
                  <c:pt idx="520">
                    <c:v>16000</c:v>
                  </c:pt>
                  <c:pt idx="521">
                    <c:v>2000</c:v>
                  </c:pt>
                  <c:pt idx="522">
                    <c:v>12000</c:v>
                  </c:pt>
                  <c:pt idx="523">
                    <c:v>300</c:v>
                  </c:pt>
                  <c:pt idx="524">
                    <c:v>12</c:v>
                  </c:pt>
                  <c:pt idx="525">
                    <c:v>10000</c:v>
                  </c:pt>
                  <c:pt idx="526">
                    <c:v>1</c:v>
                  </c:pt>
                  <c:pt idx="528">
                    <c:v>14000</c:v>
                  </c:pt>
                  <c:pt idx="529">
                    <c:v>2000</c:v>
                  </c:pt>
                  <c:pt idx="530">
                    <c:v>10000</c:v>
                  </c:pt>
                  <c:pt idx="531">
                    <c:v>340</c:v>
                  </c:pt>
                  <c:pt idx="532">
                    <c:v>12</c:v>
                  </c:pt>
                  <c:pt idx="533">
                    <c:v>10000</c:v>
                  </c:pt>
                  <c:pt idx="534">
                    <c:v>1</c:v>
                  </c:pt>
                  <c:pt idx="538">
                    <c:v>کمیت</c:v>
                  </c:pt>
                  <c:pt idx="539">
                    <c:v>4</c:v>
                  </c:pt>
                  <c:pt idx="540">
                    <c:v>10</c:v>
                  </c:pt>
                  <c:pt idx="541">
                    <c:v>1000</c:v>
                  </c:pt>
                  <c:pt idx="542">
                    <c:v>1</c:v>
                  </c:pt>
                  <c:pt idx="544">
                    <c:v>کمیت</c:v>
                  </c:pt>
                  <c:pt idx="545">
                    <c:v>1</c:v>
                  </c:pt>
                  <c:pt idx="546">
                    <c:v>15</c:v>
                  </c:pt>
                  <c:pt idx="548">
                    <c:v>کمیت</c:v>
                  </c:pt>
                  <c:pt idx="549">
                    <c:v>9</c:v>
                  </c:pt>
                  <c:pt idx="553">
                    <c:v>1</c:v>
                  </c:pt>
                  <c:pt idx="581">
                    <c:v>معیاد </c:v>
                  </c:pt>
                  <c:pt idx="582">
                    <c:v>تاریخ آغاز</c:v>
                  </c:pt>
                  <c:pt idx="583">
                    <c:v>1396/10/1</c:v>
                  </c:pt>
                  <c:pt idx="584">
                    <c:v>1396/10/1</c:v>
                  </c:pt>
                  <c:pt idx="585">
                    <c:v>1396/10/1</c:v>
                  </c:pt>
                  <c:pt idx="587">
                    <c:v>تاریخ آغاز</c:v>
                  </c:pt>
                  <c:pt idx="588">
                    <c:v>1396/10/1</c:v>
                  </c:pt>
                  <c:pt idx="589">
                    <c:v>1396/10/1</c:v>
                  </c:pt>
                  <c:pt idx="590">
                    <c:v>1396/10/1</c:v>
                  </c:pt>
                  <c:pt idx="592">
                    <c:v>تاریخ آغاز</c:v>
                  </c:pt>
                  <c:pt idx="593">
                    <c:v>1396/10/1</c:v>
                  </c:pt>
                  <c:pt idx="594">
                    <c:v>1396/10/1</c:v>
                  </c:pt>
                  <c:pt idx="595">
                    <c:v>1396/10/1</c:v>
                  </c:pt>
                  <c:pt idx="596">
                    <c:v>1396/10/1</c:v>
                  </c:pt>
                  <c:pt idx="598">
                    <c:v>تاریخ آغاز</c:v>
                  </c:pt>
                  <c:pt idx="599">
                    <c:v>1396/10/1</c:v>
                  </c:pt>
                  <c:pt idx="600">
                    <c:v>1396/10/1</c:v>
                  </c:pt>
                  <c:pt idx="601">
                    <c:v>1396/10/1</c:v>
                  </c:pt>
                  <c:pt idx="603">
                    <c:v>تاریخ آغاز</c:v>
                  </c:pt>
                  <c:pt idx="604">
                    <c:v>1396/10/1</c:v>
                  </c:pt>
                  <c:pt idx="605">
                    <c:v>1396/10/1</c:v>
                  </c:pt>
                  <c:pt idx="606">
                    <c:v>1396/10/1</c:v>
                  </c:pt>
                  <c:pt idx="608">
                    <c:v>تاریخ آغاز</c:v>
                  </c:pt>
                  <c:pt idx="609">
                    <c:v>1396/10/1</c:v>
                  </c:pt>
                  <c:pt idx="610">
                    <c:v>1396/10/1</c:v>
                  </c:pt>
                  <c:pt idx="612">
                    <c:v>تاریخ آغاز</c:v>
                  </c:pt>
                  <c:pt idx="613">
                    <c:v>1396/10/1</c:v>
                  </c:pt>
                  <c:pt idx="614">
                    <c:v>1396/10/1</c:v>
                  </c:pt>
                  <c:pt idx="616">
                    <c:v>تاریخ آغاز</c:v>
                  </c:pt>
                  <c:pt idx="617">
                    <c:v>1396/10/1</c:v>
                  </c:pt>
                  <c:pt idx="618">
                    <c:v>1396/10/1</c:v>
                  </c:pt>
                  <c:pt idx="620">
                    <c:v>تاریخ آغاز</c:v>
                  </c:pt>
                  <c:pt idx="621">
                    <c:v>1396/10/1</c:v>
                  </c:pt>
                  <c:pt idx="622">
                    <c:v>1396/10/1</c:v>
                  </c:pt>
                  <c:pt idx="623">
                    <c:v>1396/10/1</c:v>
                  </c:pt>
                  <c:pt idx="624">
                    <c:v>1396/10/1</c:v>
                  </c:pt>
                  <c:pt idx="626">
                    <c:v>تاریخ آغاز</c:v>
                  </c:pt>
                  <c:pt idx="627">
                    <c:v>1396/10/1</c:v>
                  </c:pt>
                  <c:pt idx="628">
                    <c:v>1396/10/1</c:v>
                  </c:pt>
                  <c:pt idx="629">
                    <c:v>1396/10/1</c:v>
                  </c:pt>
                  <c:pt idx="630">
                    <c:v>1396/10/1</c:v>
                  </c:pt>
                  <c:pt idx="631">
                    <c:v>1396/10/1</c:v>
                  </c:pt>
                  <c:pt idx="633">
                    <c:v>تاریخ آغاز</c:v>
                  </c:pt>
                  <c:pt idx="634">
                    <c:v>1396/10/1</c:v>
                  </c:pt>
                  <c:pt idx="635">
                    <c:v>1396/10/1</c:v>
                  </c:pt>
                  <c:pt idx="636">
                    <c:v>1396/10/1</c:v>
                  </c:pt>
                  <c:pt idx="638">
                    <c:v>تاریخ آغاز</c:v>
                  </c:pt>
                  <c:pt idx="639">
                    <c:v>1396/10/1</c:v>
                  </c:pt>
                  <c:pt idx="640">
                    <c:v>1396/10/1</c:v>
                  </c:pt>
                  <c:pt idx="641">
                    <c:v>1396/10/1</c:v>
                  </c:pt>
                  <c:pt idx="643">
                    <c:v>تاریخ آغاز</c:v>
                  </c:pt>
                  <c:pt idx="644">
                    <c:v>1396/10/1</c:v>
                  </c:pt>
                  <c:pt idx="645">
                    <c:v>1396/10/1</c:v>
                  </c:pt>
                  <c:pt idx="647">
                    <c:v> -   </c:v>
                  </c:pt>
                  <c:pt idx="649">
                    <c:v>معیاد پروژه </c:v>
                  </c:pt>
                  <c:pt idx="650">
                    <c:v>تاریخ آغاز</c:v>
                  </c:pt>
                  <c:pt idx="651">
                    <c:v>1جدی</c:v>
                  </c:pt>
                  <c:pt idx="652">
                    <c:v>30حوت</c:v>
                  </c:pt>
                  <c:pt idx="655">
                    <c:v>1 حوت </c:v>
                  </c:pt>
                  <c:pt idx="656">
                    <c:v>1 حوت</c:v>
                  </c:pt>
                  <c:pt idx="658">
                    <c:v>1میزان </c:v>
                  </c:pt>
                  <c:pt idx="659">
                    <c:v>1عقرب</c:v>
                  </c:pt>
                  <c:pt idx="660">
                    <c:v>1جوزا</c:v>
                  </c:pt>
                  <c:pt idx="661">
                    <c:v>1جوزا</c:v>
                  </c:pt>
                  <c:pt idx="662">
                    <c:v>1عقرب</c:v>
                  </c:pt>
                  <c:pt idx="663">
                    <c:v>12 جدی</c:v>
                  </c:pt>
                  <c:pt idx="665">
                    <c:v>تاریخ آغاز</c:v>
                  </c:pt>
                  <c:pt idx="667">
                    <c:v>1حمل</c:v>
                  </c:pt>
                  <c:pt idx="668">
                    <c:v>1جدی</c:v>
                  </c:pt>
                  <c:pt idx="669">
                    <c:v>12 جدی</c:v>
                  </c:pt>
                  <c:pt idx="670">
                    <c:v>15دلو</c:v>
                  </c:pt>
                  <c:pt idx="671">
                    <c:v>15دلو</c:v>
                  </c:pt>
                  <c:pt idx="672">
                    <c:v>1عقرب</c:v>
                  </c:pt>
                  <c:pt idx="673">
                    <c:v>1دلو</c:v>
                  </c:pt>
                  <c:pt idx="674">
                    <c:v>1عقرب</c:v>
                  </c:pt>
                  <c:pt idx="675">
                    <c:v>1عقرب</c:v>
                  </c:pt>
                  <c:pt idx="676">
                    <c:v>1عقرب</c:v>
                  </c:pt>
                  <c:pt idx="677">
                    <c:v>1عقرب</c:v>
                  </c:pt>
                  <c:pt idx="678">
                    <c:v>1حوت</c:v>
                  </c:pt>
                  <c:pt idx="679">
                    <c:v>1جدی</c:v>
                  </c:pt>
                  <c:pt idx="680">
                    <c:v>15حوت</c:v>
                  </c:pt>
                  <c:pt idx="681">
                    <c:v>15حوت</c:v>
                  </c:pt>
                  <c:pt idx="682">
                    <c:v>اول ثور</c:v>
                  </c:pt>
                  <c:pt idx="683">
                    <c:v>1ثور</c:v>
                  </c:pt>
                  <c:pt idx="685">
                    <c:v>1میزان </c:v>
                  </c:pt>
                  <c:pt idx="686">
                    <c:v>1عقرب</c:v>
                  </c:pt>
                  <c:pt idx="687">
                    <c:v>1جوزا</c:v>
                  </c:pt>
                  <c:pt idx="688">
                    <c:v>1جوزا</c:v>
                  </c:pt>
                  <c:pt idx="689">
                    <c:v>1عقرب</c:v>
                  </c:pt>
                  <c:pt idx="690">
                    <c:v>12 جدی</c:v>
                  </c:pt>
                  <c:pt idx="691">
                    <c:v>12 جدی</c:v>
                  </c:pt>
                  <c:pt idx="693">
                    <c:v>تاریخ آغاز</c:v>
                  </c:pt>
                  <c:pt idx="694">
                    <c:v>1جدی</c:v>
                  </c:pt>
                  <c:pt idx="695">
                    <c:v>30حوت</c:v>
                  </c:pt>
                  <c:pt idx="696">
                    <c:v>اجدی</c:v>
                  </c:pt>
                  <c:pt idx="697">
                    <c:v>اجدی</c:v>
                  </c:pt>
                  <c:pt idx="698">
                    <c:v>1 حوت </c:v>
                  </c:pt>
                  <c:pt idx="699">
                    <c:v>1 حوت</c:v>
                  </c:pt>
                  <c:pt idx="701">
                    <c:v>1میزان </c:v>
                  </c:pt>
                  <c:pt idx="702">
                    <c:v>1عقرب</c:v>
                  </c:pt>
                  <c:pt idx="703">
                    <c:v>1جوزا</c:v>
                  </c:pt>
                  <c:pt idx="704">
                    <c:v>1جوزا</c:v>
                  </c:pt>
                  <c:pt idx="705">
                    <c:v>1عقرب</c:v>
                  </c:pt>
                  <c:pt idx="706">
                    <c:v>12 جدی</c:v>
                  </c:pt>
                  <c:pt idx="708">
                    <c:v>تاریخ آغاز</c:v>
                  </c:pt>
                  <c:pt idx="709">
                    <c:v>1جدی</c:v>
                  </c:pt>
                  <c:pt idx="710">
                    <c:v>12 جدی</c:v>
                  </c:pt>
                  <c:pt idx="711">
                    <c:v>15دلو</c:v>
                  </c:pt>
                  <c:pt idx="712">
                    <c:v>15دلو</c:v>
                  </c:pt>
                  <c:pt idx="713">
                    <c:v>1عقرب</c:v>
                  </c:pt>
                  <c:pt idx="714">
                    <c:v>1دلو</c:v>
                  </c:pt>
                  <c:pt idx="715">
                    <c:v>1عقرب</c:v>
                  </c:pt>
                  <c:pt idx="716">
                    <c:v>1عقرب</c:v>
                  </c:pt>
                  <c:pt idx="717">
                    <c:v>1عقرب</c:v>
                  </c:pt>
                  <c:pt idx="718">
                    <c:v>1عقرب</c:v>
                  </c:pt>
                  <c:pt idx="719">
                    <c:v>1حوت</c:v>
                  </c:pt>
                  <c:pt idx="720">
                    <c:v>1جدی</c:v>
                  </c:pt>
                  <c:pt idx="721">
                    <c:v>15حوت</c:v>
                  </c:pt>
                  <c:pt idx="722">
                    <c:v>15حوت</c:v>
                  </c:pt>
                  <c:pt idx="723">
                    <c:v>اول ثور</c:v>
                  </c:pt>
                  <c:pt idx="724">
                    <c:v>1ثور</c:v>
                  </c:pt>
                  <c:pt idx="726">
                    <c:v>1میزان</c:v>
                  </c:pt>
                  <c:pt idx="727">
                    <c:v>1عقرب</c:v>
                  </c:pt>
                  <c:pt idx="728">
                    <c:v>1عقرب</c:v>
                  </c:pt>
                  <c:pt idx="729">
                    <c:v>1جوزا</c:v>
                  </c:pt>
                  <c:pt idx="730">
                    <c:v>1جوزا</c:v>
                  </c:pt>
                  <c:pt idx="731">
                    <c:v>1عقرب</c:v>
                  </c:pt>
                  <c:pt idx="732">
                    <c:v>1عقرب</c:v>
                  </c:pt>
                  <c:pt idx="733">
                    <c:v>12 جدی</c:v>
                  </c:pt>
                  <c:pt idx="734">
                    <c:v>12 جدی</c:v>
                  </c:pt>
                  <c:pt idx="736">
                    <c:v>تاریخ آغاز</c:v>
                  </c:pt>
                  <c:pt idx="737">
                    <c:v>1جدی</c:v>
                  </c:pt>
                  <c:pt idx="738">
                    <c:v>30حوت</c:v>
                  </c:pt>
                  <c:pt idx="739">
                    <c:v>اجدی</c:v>
                  </c:pt>
                  <c:pt idx="740">
                    <c:v>1جدی</c:v>
                  </c:pt>
                  <c:pt idx="741">
                    <c:v>1 حوت </c:v>
                  </c:pt>
                  <c:pt idx="742">
                    <c:v>1 حوت</c:v>
                  </c:pt>
                  <c:pt idx="744">
                    <c:v>1میزان</c:v>
                  </c:pt>
                  <c:pt idx="745">
                    <c:v>1عقرب</c:v>
                  </c:pt>
                  <c:pt idx="746">
                    <c:v>1جوزا</c:v>
                  </c:pt>
                  <c:pt idx="747">
                    <c:v>1جوزا</c:v>
                  </c:pt>
                  <c:pt idx="748">
                    <c:v>1عقرب</c:v>
                  </c:pt>
                  <c:pt idx="749">
                    <c:v>1جدی</c:v>
                  </c:pt>
                  <c:pt idx="751">
                    <c:v>تاریخ آغاز</c:v>
                  </c:pt>
                  <c:pt idx="752">
                    <c:v>1حمل</c:v>
                  </c:pt>
                  <c:pt idx="753">
                    <c:v>1حمل</c:v>
                  </c:pt>
                  <c:pt idx="754">
                    <c:v>1جدی</c:v>
                  </c:pt>
                  <c:pt idx="755">
                    <c:v>اول ثور</c:v>
                  </c:pt>
                  <c:pt idx="756">
                    <c:v>1ثور</c:v>
                  </c:pt>
                  <c:pt idx="757">
                    <c:v>1جدی</c:v>
                  </c:pt>
                  <c:pt idx="759">
                    <c:v>تاریخ آغاز</c:v>
                  </c:pt>
                  <c:pt idx="760">
                    <c:v>1حمل</c:v>
                  </c:pt>
                  <c:pt idx="761">
                    <c:v>1جدی</c:v>
                  </c:pt>
                  <c:pt idx="762">
                    <c:v>1ثور</c:v>
                  </c:pt>
                  <c:pt idx="763">
                    <c:v>اول ثور</c:v>
                  </c:pt>
                  <c:pt idx="764">
                    <c:v>1جدی</c:v>
                  </c:pt>
                  <c:pt idx="766">
                    <c:v>تاریخ آغاز</c:v>
                  </c:pt>
                  <c:pt idx="767">
                    <c:v>1حمل</c:v>
                  </c:pt>
                  <c:pt idx="768">
                    <c:v>1جدی</c:v>
                  </c:pt>
                  <c:pt idx="769">
                    <c:v>1حمل</c:v>
                  </c:pt>
                  <c:pt idx="770">
                    <c:v>12 جدی</c:v>
                  </c:pt>
                  <c:pt idx="771">
                    <c:v>12 جدی</c:v>
                  </c:pt>
                  <c:pt idx="772">
                    <c:v>15دلو</c:v>
                  </c:pt>
                  <c:pt idx="773">
                    <c:v>15دلو</c:v>
                  </c:pt>
                  <c:pt idx="774">
                    <c:v>1عقرب</c:v>
                  </c:pt>
                  <c:pt idx="775">
                    <c:v>1دلو</c:v>
                  </c:pt>
                  <c:pt idx="776">
                    <c:v>1عقرب</c:v>
                  </c:pt>
                  <c:pt idx="777">
                    <c:v>1عقرب</c:v>
                  </c:pt>
                  <c:pt idx="778">
                    <c:v>1عقرب</c:v>
                  </c:pt>
                  <c:pt idx="779">
                    <c:v>1عقرب</c:v>
                  </c:pt>
                  <c:pt idx="780">
                    <c:v>1حوت</c:v>
                  </c:pt>
                  <c:pt idx="781">
                    <c:v>1جدی</c:v>
                  </c:pt>
                  <c:pt idx="782">
                    <c:v>15حوت</c:v>
                  </c:pt>
                  <c:pt idx="783">
                    <c:v>15حوت</c:v>
                  </c:pt>
                  <c:pt idx="784">
                    <c:v>اول ثور</c:v>
                  </c:pt>
                  <c:pt idx="785">
                    <c:v>1ثور</c:v>
                  </c:pt>
                  <c:pt idx="786">
                    <c:v>1جدی</c:v>
                  </c:pt>
                  <c:pt idx="787">
                    <c:v>1میزان</c:v>
                  </c:pt>
                  <c:pt idx="788">
                    <c:v>1عقرب</c:v>
                  </c:pt>
                  <c:pt idx="789">
                    <c:v>1جوزا</c:v>
                  </c:pt>
                  <c:pt idx="790">
                    <c:v>1جوزا</c:v>
                  </c:pt>
                  <c:pt idx="791">
                    <c:v>1عقرب</c:v>
                  </c:pt>
                  <c:pt idx="792">
                    <c:v>1جدی</c:v>
                  </c:pt>
                  <c:pt idx="793">
                    <c:v>1جدی</c:v>
                  </c:pt>
                  <c:pt idx="795">
                    <c:v>تاریخ آغاز</c:v>
                  </c:pt>
                  <c:pt idx="796">
                    <c:v>1جدی</c:v>
                  </c:pt>
                  <c:pt idx="797">
                    <c:v>اجدی</c:v>
                  </c:pt>
                  <c:pt idx="798">
                    <c:v>12 جدی</c:v>
                  </c:pt>
                  <c:pt idx="799">
                    <c:v>15دلو</c:v>
                  </c:pt>
                  <c:pt idx="800">
                    <c:v>15دلو</c:v>
                  </c:pt>
                  <c:pt idx="801">
                    <c:v>1عقرب</c:v>
                  </c:pt>
                  <c:pt idx="802">
                    <c:v>1دلو</c:v>
                  </c:pt>
                  <c:pt idx="803">
                    <c:v>1عقرب</c:v>
                  </c:pt>
                  <c:pt idx="804">
                    <c:v>1عقرب</c:v>
                  </c:pt>
                  <c:pt idx="805">
                    <c:v>1عقرب</c:v>
                  </c:pt>
                  <c:pt idx="806">
                    <c:v>1عقرب</c:v>
                  </c:pt>
                  <c:pt idx="807">
                    <c:v>1حوت</c:v>
                  </c:pt>
                  <c:pt idx="808">
                    <c:v>1جدی</c:v>
                  </c:pt>
                  <c:pt idx="809">
                    <c:v>15حوت</c:v>
                  </c:pt>
                  <c:pt idx="810">
                    <c:v>15حوت</c:v>
                  </c:pt>
                  <c:pt idx="811">
                    <c:v>اول ثور</c:v>
                  </c:pt>
                  <c:pt idx="812">
                    <c:v>1ثور</c:v>
                  </c:pt>
                  <c:pt idx="813">
                    <c:v>12 جدی</c:v>
                  </c:pt>
                  <c:pt idx="814">
                    <c:v>12 جدی</c:v>
                  </c:pt>
                  <c:pt idx="816">
                    <c:v>تاریخ آغاز</c:v>
                  </c:pt>
                  <c:pt idx="817">
                    <c:v>1جدی</c:v>
                  </c:pt>
                  <c:pt idx="818">
                    <c:v>30حوت</c:v>
                  </c:pt>
                  <c:pt idx="819">
                    <c:v>اجدی</c:v>
                  </c:pt>
                  <c:pt idx="820">
                    <c:v>1 حوت </c:v>
                  </c:pt>
                  <c:pt idx="821">
                    <c:v>1 حوت</c:v>
                  </c:pt>
                  <c:pt idx="822">
                    <c:v>12 جدی</c:v>
                  </c:pt>
                  <c:pt idx="824">
                    <c:v>تاریخ آغاز</c:v>
                  </c:pt>
                  <c:pt idx="825">
                    <c:v>1جدی</c:v>
                  </c:pt>
                  <c:pt idx="826">
                    <c:v>30حوت</c:v>
                  </c:pt>
                  <c:pt idx="827">
                    <c:v>اجدی</c:v>
                  </c:pt>
                  <c:pt idx="828">
                    <c:v>1 حوت </c:v>
                  </c:pt>
                  <c:pt idx="829">
                    <c:v>1 حوت</c:v>
                  </c:pt>
                  <c:pt idx="830">
                    <c:v>12 جدی</c:v>
                  </c:pt>
                  <c:pt idx="832">
                    <c:v>تاریخ آغاز</c:v>
                  </c:pt>
                  <c:pt idx="833">
                    <c:v>1جدی</c:v>
                  </c:pt>
                  <c:pt idx="834">
                    <c:v>30حوت</c:v>
                  </c:pt>
                  <c:pt idx="835">
                    <c:v>اجدی</c:v>
                  </c:pt>
                  <c:pt idx="836">
                    <c:v>1 حوت </c:v>
                  </c:pt>
                  <c:pt idx="837">
                    <c:v>1 حوت</c:v>
                  </c:pt>
                  <c:pt idx="838">
                    <c:v>12 جدی</c:v>
                  </c:pt>
                  <c:pt idx="840">
                    <c:v>تاریخ آغاز</c:v>
                  </c:pt>
                  <c:pt idx="841">
                    <c:v>1جدی</c:v>
                  </c:pt>
                  <c:pt idx="842">
                    <c:v>30حوت</c:v>
                  </c:pt>
                  <c:pt idx="843">
                    <c:v>اجدی</c:v>
                  </c:pt>
                  <c:pt idx="844">
                    <c:v>1 حوت </c:v>
                  </c:pt>
                  <c:pt idx="845">
                    <c:v>1 حوت</c:v>
                  </c:pt>
                  <c:pt idx="846">
                    <c:v>12 جدی</c:v>
                  </c:pt>
                  <c:pt idx="848">
                    <c:v>تاریخ آغاز</c:v>
                  </c:pt>
                  <c:pt idx="849">
                    <c:v>1جدی</c:v>
                  </c:pt>
                  <c:pt idx="850">
                    <c:v>30حوت</c:v>
                  </c:pt>
                  <c:pt idx="851">
                    <c:v>اجدی</c:v>
                  </c:pt>
                  <c:pt idx="852">
                    <c:v>1 حوت </c:v>
                  </c:pt>
                  <c:pt idx="853">
                    <c:v>1 حوت</c:v>
                  </c:pt>
                  <c:pt idx="855">
                    <c:v>1میزان</c:v>
                  </c:pt>
                  <c:pt idx="856">
                    <c:v>1عقرب</c:v>
                  </c:pt>
                  <c:pt idx="857">
                    <c:v>1جوزا</c:v>
                  </c:pt>
                  <c:pt idx="858">
                    <c:v>1جوزا</c:v>
                  </c:pt>
                  <c:pt idx="859">
                    <c:v>1عقرب</c:v>
                  </c:pt>
                  <c:pt idx="860">
                    <c:v>12 جدی</c:v>
                  </c:pt>
                  <c:pt idx="862">
                    <c:v>تاریخ آغاز</c:v>
                  </c:pt>
                  <c:pt idx="863">
                    <c:v>1جدی</c:v>
                  </c:pt>
                  <c:pt idx="864">
                    <c:v>30حوت</c:v>
                  </c:pt>
                  <c:pt idx="865">
                    <c:v>اجدی</c:v>
                  </c:pt>
                  <c:pt idx="866">
                    <c:v>1 حوت </c:v>
                  </c:pt>
                  <c:pt idx="867">
                    <c:v>1 حوت</c:v>
                  </c:pt>
                  <c:pt idx="869">
                    <c:v>1میزان</c:v>
                  </c:pt>
                  <c:pt idx="870">
                    <c:v>1عقرب</c:v>
                  </c:pt>
                  <c:pt idx="871">
                    <c:v>1جوزا</c:v>
                  </c:pt>
                  <c:pt idx="872">
                    <c:v>1جوزا</c:v>
                  </c:pt>
                  <c:pt idx="873">
                    <c:v>1عقرب</c:v>
                  </c:pt>
                  <c:pt idx="874">
                    <c:v>12 جدی</c:v>
                  </c:pt>
                  <c:pt idx="878">
                    <c:v> -   </c:v>
                  </c:pt>
                  <c:pt idx="879">
                    <c:v> -   </c:v>
                  </c:pt>
                  <c:pt idx="881">
                    <c:v>تاریخ آغاز</c:v>
                  </c:pt>
                  <c:pt idx="882">
                    <c:v>1جدی</c:v>
                  </c:pt>
                  <c:pt idx="883">
                    <c:v>1جدی</c:v>
                  </c:pt>
                  <c:pt idx="884">
                    <c:v>1جدی</c:v>
                  </c:pt>
                  <c:pt idx="885">
                    <c:v>1جدی</c:v>
                  </c:pt>
                  <c:pt idx="886">
                    <c:v>1جدی</c:v>
                  </c:pt>
                  <c:pt idx="887">
                    <c:v>1جدی</c:v>
                  </c:pt>
                  <c:pt idx="888">
                    <c:v>1جدی</c:v>
                  </c:pt>
                  <c:pt idx="890">
                    <c:v>1جدی</c:v>
                  </c:pt>
                  <c:pt idx="891">
                    <c:v>1جدی</c:v>
                  </c:pt>
                  <c:pt idx="892">
                    <c:v>1جدی</c:v>
                  </c:pt>
                  <c:pt idx="893">
                    <c:v>1جدی</c:v>
                  </c:pt>
                  <c:pt idx="894">
                    <c:v>1جدی</c:v>
                  </c:pt>
                  <c:pt idx="895">
                    <c:v>1جدی</c:v>
                  </c:pt>
                  <c:pt idx="896">
                    <c:v>1جدی</c:v>
                  </c:pt>
                  <c:pt idx="898">
                    <c:v>1جدی</c:v>
                  </c:pt>
                  <c:pt idx="899">
                    <c:v>1جدی</c:v>
                  </c:pt>
                  <c:pt idx="900">
                    <c:v>1جدی</c:v>
                  </c:pt>
                  <c:pt idx="901">
                    <c:v>1جدی</c:v>
                  </c:pt>
                  <c:pt idx="902">
                    <c:v>1جدی</c:v>
                  </c:pt>
                  <c:pt idx="903">
                    <c:v>1جدی</c:v>
                  </c:pt>
                  <c:pt idx="904">
                    <c:v>1جدی</c:v>
                  </c:pt>
                  <c:pt idx="906">
                    <c:v>1جدی</c:v>
                  </c:pt>
                  <c:pt idx="907">
                    <c:v>1جدی</c:v>
                  </c:pt>
                  <c:pt idx="908">
                    <c:v>1جدی</c:v>
                  </c:pt>
                  <c:pt idx="909">
                    <c:v>1جدی</c:v>
                  </c:pt>
                  <c:pt idx="910">
                    <c:v>1جدی</c:v>
                  </c:pt>
                  <c:pt idx="911">
                    <c:v>1جدی</c:v>
                  </c:pt>
                  <c:pt idx="913">
                    <c:v>1جدی</c:v>
                  </c:pt>
                  <c:pt idx="914">
                    <c:v>1جدی</c:v>
                  </c:pt>
                  <c:pt idx="915">
                    <c:v>1جدی</c:v>
                  </c:pt>
                  <c:pt idx="916">
                    <c:v>1جدی</c:v>
                  </c:pt>
                  <c:pt idx="917">
                    <c:v>1جدی</c:v>
                  </c:pt>
                  <c:pt idx="918">
                    <c:v>1جدی</c:v>
                  </c:pt>
                  <c:pt idx="919">
                    <c:v>1جدی</c:v>
                  </c:pt>
                  <c:pt idx="921">
                    <c:v>1جدی</c:v>
                  </c:pt>
                  <c:pt idx="922">
                    <c:v>1جدی</c:v>
                  </c:pt>
                  <c:pt idx="923">
                    <c:v>1جدی</c:v>
                  </c:pt>
                  <c:pt idx="924">
                    <c:v>1جدی</c:v>
                  </c:pt>
                  <c:pt idx="925">
                    <c:v>1جدی</c:v>
                  </c:pt>
                  <c:pt idx="927">
                    <c:v>1جدی</c:v>
                  </c:pt>
                  <c:pt idx="928">
                    <c:v>1جدی</c:v>
                  </c:pt>
                  <c:pt idx="929">
                    <c:v>1جدی</c:v>
                  </c:pt>
                  <c:pt idx="930">
                    <c:v>1جدی</c:v>
                  </c:pt>
                  <c:pt idx="931">
                    <c:v>1جدی</c:v>
                  </c:pt>
                  <c:pt idx="932">
                    <c:v>1جدی</c:v>
                  </c:pt>
                  <c:pt idx="933">
                    <c:v>1جدی</c:v>
                  </c:pt>
                  <c:pt idx="934">
                    <c:v>1جدی</c:v>
                  </c:pt>
                  <c:pt idx="936">
                    <c:v>1جدی</c:v>
                  </c:pt>
                  <c:pt idx="937">
                    <c:v>1جدی</c:v>
                  </c:pt>
                  <c:pt idx="938">
                    <c:v>1جدی</c:v>
                  </c:pt>
                  <c:pt idx="939">
                    <c:v>1جدی</c:v>
                  </c:pt>
                  <c:pt idx="940">
                    <c:v>1جدی</c:v>
                  </c:pt>
                  <c:pt idx="941">
                    <c:v>1جدی</c:v>
                  </c:pt>
                  <c:pt idx="942">
                    <c:v>1جدی</c:v>
                  </c:pt>
                  <c:pt idx="944">
                    <c:v>1جدی</c:v>
                  </c:pt>
                  <c:pt idx="945">
                    <c:v>1جدی</c:v>
                  </c:pt>
                  <c:pt idx="946">
                    <c:v>1جدی</c:v>
                  </c:pt>
                  <c:pt idx="947">
                    <c:v>1جدی</c:v>
                  </c:pt>
                  <c:pt idx="948">
                    <c:v>1جدی</c:v>
                  </c:pt>
                  <c:pt idx="949">
                    <c:v>1جدی</c:v>
                  </c:pt>
                  <c:pt idx="950">
                    <c:v>1جدی</c:v>
                  </c:pt>
                  <c:pt idx="952">
                    <c:v>1جدی</c:v>
                  </c:pt>
                  <c:pt idx="953">
                    <c:v>1جدی</c:v>
                  </c:pt>
                  <c:pt idx="954">
                    <c:v>1جدی</c:v>
                  </c:pt>
                  <c:pt idx="955">
                    <c:v>1جدی</c:v>
                  </c:pt>
                  <c:pt idx="956">
                    <c:v>1جدی</c:v>
                  </c:pt>
                  <c:pt idx="957">
                    <c:v>1جدی</c:v>
                  </c:pt>
                  <c:pt idx="958">
                    <c:v>1جدی</c:v>
                  </c:pt>
                  <c:pt idx="959">
                    <c:v>1جدی</c:v>
                  </c:pt>
                  <c:pt idx="961">
                    <c:v>1جدی</c:v>
                  </c:pt>
                  <c:pt idx="962">
                    <c:v>1جدی</c:v>
                  </c:pt>
                  <c:pt idx="963">
                    <c:v>1جدی</c:v>
                  </c:pt>
                  <c:pt idx="964">
                    <c:v>1جدی</c:v>
                  </c:pt>
                  <c:pt idx="965">
                    <c:v>1جدی</c:v>
                  </c:pt>
                  <c:pt idx="966">
                    <c:v>1جدی</c:v>
                  </c:pt>
                  <c:pt idx="967">
                    <c:v>1جدی</c:v>
                  </c:pt>
                  <c:pt idx="969">
                    <c:v>1جدی</c:v>
                  </c:pt>
                  <c:pt idx="970">
                    <c:v>1جدی</c:v>
                  </c:pt>
                  <c:pt idx="971">
                    <c:v>1جدی</c:v>
                  </c:pt>
                  <c:pt idx="972">
                    <c:v>1جدی</c:v>
                  </c:pt>
                  <c:pt idx="973">
                    <c:v>1جدی</c:v>
                  </c:pt>
                  <c:pt idx="974">
                    <c:v>1جدی</c:v>
                  </c:pt>
                  <c:pt idx="975">
                    <c:v>1جدی</c:v>
                  </c:pt>
                  <c:pt idx="977">
                    <c:v>1جدی</c:v>
                  </c:pt>
                  <c:pt idx="978">
                    <c:v>1جدی</c:v>
                  </c:pt>
                  <c:pt idx="979">
                    <c:v>1جدی</c:v>
                  </c:pt>
                  <c:pt idx="980">
                    <c:v>1جدی</c:v>
                  </c:pt>
                  <c:pt idx="981">
                    <c:v>1جدی</c:v>
                  </c:pt>
                  <c:pt idx="982">
                    <c:v>1جدی</c:v>
                  </c:pt>
                  <c:pt idx="983">
                    <c:v>1جدی</c:v>
                  </c:pt>
                  <c:pt idx="984">
                    <c:v>1جدی</c:v>
                  </c:pt>
                  <c:pt idx="985">
                    <c:v>1جدی</c:v>
                  </c:pt>
                  <c:pt idx="987">
                    <c:v>1جدی</c:v>
                  </c:pt>
                  <c:pt idx="988">
                    <c:v>1جدی</c:v>
                  </c:pt>
                  <c:pt idx="989">
                    <c:v>1جدی</c:v>
                  </c:pt>
                  <c:pt idx="990">
                    <c:v>1جدی</c:v>
                  </c:pt>
                  <c:pt idx="991">
                    <c:v>1جدی</c:v>
                  </c:pt>
                  <c:pt idx="992">
                    <c:v>1جدی</c:v>
                  </c:pt>
                  <c:pt idx="993">
                    <c:v>1جدی</c:v>
                  </c:pt>
                  <c:pt idx="995">
                    <c:v>1جدی</c:v>
                  </c:pt>
                  <c:pt idx="996">
                    <c:v>1جدی</c:v>
                  </c:pt>
                  <c:pt idx="997">
                    <c:v>1جدی</c:v>
                  </c:pt>
                  <c:pt idx="998">
                    <c:v>1جدی</c:v>
                  </c:pt>
                  <c:pt idx="999">
                    <c:v>1جدی</c:v>
                  </c:pt>
                  <c:pt idx="1000">
                    <c:v>1جدی</c:v>
                  </c:pt>
                  <c:pt idx="1002">
                    <c:v>1جدی</c:v>
                  </c:pt>
                  <c:pt idx="1003">
                    <c:v>1جدی</c:v>
                  </c:pt>
                  <c:pt idx="1004">
                    <c:v>1جدی</c:v>
                  </c:pt>
                  <c:pt idx="1005">
                    <c:v>1جدی</c:v>
                  </c:pt>
                  <c:pt idx="1006">
                    <c:v>1جدی</c:v>
                  </c:pt>
                  <c:pt idx="1007">
                    <c:v>1جدی</c:v>
                  </c:pt>
                  <c:pt idx="1008">
                    <c:v>1جدی</c:v>
                  </c:pt>
                  <c:pt idx="1009">
                    <c:v>1جدی</c:v>
                  </c:pt>
                  <c:pt idx="1010">
                    <c:v>1جدی</c:v>
                  </c:pt>
                  <c:pt idx="1011">
                    <c:v>1جدی</c:v>
                  </c:pt>
                  <c:pt idx="1012">
                    <c:v>1جدی</c:v>
                  </c:pt>
                  <c:pt idx="1013">
                    <c:v>1جدی</c:v>
                  </c:pt>
                  <c:pt idx="1014">
                    <c:v>1جدی</c:v>
                  </c:pt>
                  <c:pt idx="1015">
                    <c:v>1جدی</c:v>
                  </c:pt>
                  <c:pt idx="1016">
                    <c:v>1جدی</c:v>
                  </c:pt>
                  <c:pt idx="1018">
                    <c:v>1جدی</c:v>
                  </c:pt>
                  <c:pt idx="1019">
                    <c:v>1جدی</c:v>
                  </c:pt>
                  <c:pt idx="1020">
                    <c:v>1جدی</c:v>
                  </c:pt>
                  <c:pt idx="1021">
                    <c:v>1جدی</c:v>
                  </c:pt>
                  <c:pt idx="1022">
                    <c:v>1جدی</c:v>
                  </c:pt>
                  <c:pt idx="1023">
                    <c:v>1جدی</c:v>
                  </c:pt>
                  <c:pt idx="1024">
                    <c:v>1جدی</c:v>
                  </c:pt>
                  <c:pt idx="1026">
                    <c:v>1جدی</c:v>
                  </c:pt>
                  <c:pt idx="1027">
                    <c:v>1جدی</c:v>
                  </c:pt>
                  <c:pt idx="1028">
                    <c:v>1جدی</c:v>
                  </c:pt>
                  <c:pt idx="1029">
                    <c:v>1جدی</c:v>
                  </c:pt>
                  <c:pt idx="1030">
                    <c:v>1جدی</c:v>
                  </c:pt>
                  <c:pt idx="1031">
                    <c:v>1جدی</c:v>
                  </c:pt>
                  <c:pt idx="1032">
                    <c:v>1جدی</c:v>
                  </c:pt>
                  <c:pt idx="1033">
                    <c:v>1جدی</c:v>
                  </c:pt>
                  <c:pt idx="1035">
                    <c:v>1جدی</c:v>
                  </c:pt>
                  <c:pt idx="1036">
                    <c:v>1جدی</c:v>
                  </c:pt>
                  <c:pt idx="1037">
                    <c:v>1جدی</c:v>
                  </c:pt>
                  <c:pt idx="1038">
                    <c:v>1جدی</c:v>
                  </c:pt>
                  <c:pt idx="1039">
                    <c:v>1جدی</c:v>
                  </c:pt>
                  <c:pt idx="1040">
                    <c:v>1جدی</c:v>
                  </c:pt>
                  <c:pt idx="1041">
                    <c:v>1جدی</c:v>
                  </c:pt>
                  <c:pt idx="1043">
                    <c:v>1جدی</c:v>
                  </c:pt>
                  <c:pt idx="1044">
                    <c:v>1جدی</c:v>
                  </c:pt>
                  <c:pt idx="1045">
                    <c:v>1جدی</c:v>
                  </c:pt>
                  <c:pt idx="1046">
                    <c:v>1جدی</c:v>
                  </c:pt>
                  <c:pt idx="1047">
                    <c:v>1جدی</c:v>
                  </c:pt>
                  <c:pt idx="1048">
                    <c:v>1جدی</c:v>
                  </c:pt>
                  <c:pt idx="1049">
                    <c:v>1جدی</c:v>
                  </c:pt>
                  <c:pt idx="1050">
                    <c:v>1جدی</c:v>
                  </c:pt>
                  <c:pt idx="1052">
                    <c:v>1جدی</c:v>
                  </c:pt>
                  <c:pt idx="1053">
                    <c:v>1جدی</c:v>
                  </c:pt>
                  <c:pt idx="1054">
                    <c:v>1جدی</c:v>
                  </c:pt>
                  <c:pt idx="1055">
                    <c:v>1جدی</c:v>
                  </c:pt>
                  <c:pt idx="1056">
                    <c:v>1جدی</c:v>
                  </c:pt>
                  <c:pt idx="1057">
                    <c:v>1جدی</c:v>
                  </c:pt>
                  <c:pt idx="1058">
                    <c:v>1جدی</c:v>
                  </c:pt>
                  <c:pt idx="1060">
                    <c:v>1جدی</c:v>
                  </c:pt>
                  <c:pt idx="1061">
                    <c:v>1جدی</c:v>
                  </c:pt>
                  <c:pt idx="1062">
                    <c:v>1جدی</c:v>
                  </c:pt>
                  <c:pt idx="1063">
                    <c:v>1جدی</c:v>
                  </c:pt>
                  <c:pt idx="1064">
                    <c:v>1جدی</c:v>
                  </c:pt>
                  <c:pt idx="1065">
                    <c:v>1جدی</c:v>
                  </c:pt>
                  <c:pt idx="1066">
                    <c:v>1جدی</c:v>
                  </c:pt>
                  <c:pt idx="1068">
                    <c:v>1جدی</c:v>
                  </c:pt>
                  <c:pt idx="1069">
                    <c:v>1جدی</c:v>
                  </c:pt>
                  <c:pt idx="1070">
                    <c:v>1جدی</c:v>
                  </c:pt>
                  <c:pt idx="1071">
                    <c:v>1جدی</c:v>
                  </c:pt>
                  <c:pt idx="1072">
                    <c:v>1جدی</c:v>
                  </c:pt>
                  <c:pt idx="1073">
                    <c:v>1جدی</c:v>
                  </c:pt>
                  <c:pt idx="1074">
                    <c:v>1جدی</c:v>
                  </c:pt>
                  <c:pt idx="1076">
                    <c:v>1جدی</c:v>
                  </c:pt>
                  <c:pt idx="1077">
                    <c:v>1جدی</c:v>
                  </c:pt>
                  <c:pt idx="1078">
                    <c:v>1جدی</c:v>
                  </c:pt>
                  <c:pt idx="1079">
                    <c:v>1جدی</c:v>
                  </c:pt>
                  <c:pt idx="1080">
                    <c:v>1جدی</c:v>
                  </c:pt>
                  <c:pt idx="1081">
                    <c:v>1جدی</c:v>
                  </c:pt>
                  <c:pt idx="1082">
                    <c:v>1جدی</c:v>
                  </c:pt>
                  <c:pt idx="1084">
                    <c:v>1جدی</c:v>
                  </c:pt>
                  <c:pt idx="1085">
                    <c:v>1جدی</c:v>
                  </c:pt>
                  <c:pt idx="1086">
                    <c:v>1جدی</c:v>
                  </c:pt>
                  <c:pt idx="1087">
                    <c:v>1جدی</c:v>
                  </c:pt>
                  <c:pt idx="1088">
                    <c:v>1جدی</c:v>
                  </c:pt>
                  <c:pt idx="1089">
                    <c:v>1جدی</c:v>
                  </c:pt>
                  <c:pt idx="1090">
                    <c:v>1جدی</c:v>
                  </c:pt>
                  <c:pt idx="1092">
                    <c:v>1جدی</c:v>
                  </c:pt>
                  <c:pt idx="1093">
                    <c:v>1جدی</c:v>
                  </c:pt>
                  <c:pt idx="1094">
                    <c:v>1جدی</c:v>
                  </c:pt>
                  <c:pt idx="1095">
                    <c:v>1جدی</c:v>
                  </c:pt>
                  <c:pt idx="1096">
                    <c:v>1جدی</c:v>
                  </c:pt>
                  <c:pt idx="1097">
                    <c:v>1جدی</c:v>
                  </c:pt>
                  <c:pt idx="1099">
                    <c:v>1جدی</c:v>
                  </c:pt>
                  <c:pt idx="1100">
                    <c:v>1جدی</c:v>
                  </c:pt>
                  <c:pt idx="1101">
                    <c:v>1جدی</c:v>
                  </c:pt>
                  <c:pt idx="1102">
                    <c:v>1جدی</c:v>
                  </c:pt>
                  <c:pt idx="1103">
                    <c:v>1جدی</c:v>
                  </c:pt>
                  <c:pt idx="1104">
                    <c:v>1جدی</c:v>
                  </c:pt>
                  <c:pt idx="1105">
                    <c:v>1جدی</c:v>
                  </c:pt>
                  <c:pt idx="1107">
                    <c:v>1جدی</c:v>
                  </c:pt>
                  <c:pt idx="1108">
                    <c:v>1جدی</c:v>
                  </c:pt>
                  <c:pt idx="1109">
                    <c:v>1جدی</c:v>
                  </c:pt>
                  <c:pt idx="1110">
                    <c:v>1جدی</c:v>
                  </c:pt>
                  <c:pt idx="1111">
                    <c:v>1جدی</c:v>
                  </c:pt>
                  <c:pt idx="1112">
                    <c:v>1جدی</c:v>
                  </c:pt>
                  <c:pt idx="1113">
                    <c:v>1جدی</c:v>
                  </c:pt>
                  <c:pt idx="1115">
                    <c:v> -   </c:v>
                  </c:pt>
                  <c:pt idx="1117">
                    <c:v>تاریخ آغاز</c:v>
                  </c:pt>
                  <c:pt idx="1118">
                    <c:v>12/1395</c:v>
                  </c:pt>
                  <c:pt idx="1119">
                    <c:v>12/1395</c:v>
                  </c:pt>
                  <c:pt idx="1120">
                    <c:v>10/1395</c:v>
                  </c:pt>
                  <c:pt idx="1123">
                    <c:v>تاریخ آغاز</c:v>
                  </c:pt>
                  <c:pt idx="1124">
                    <c:v>01/1397</c:v>
                  </c:pt>
                  <c:pt idx="1125">
                    <c:v>01/1397</c:v>
                  </c:pt>
                  <c:pt idx="1127">
                    <c:v>تاریخ آغاز</c:v>
                  </c:pt>
                  <c:pt idx="1128">
                    <c:v>12/1395</c:v>
                  </c:pt>
                  <c:pt idx="1130">
                    <c:v> -   </c:v>
                  </c:pt>
                  <c:pt idx="1132">
                    <c:v>12/1395</c:v>
                  </c:pt>
                  <c:pt idx="1133">
                    <c:v>12/1395</c:v>
                  </c:pt>
                  <c:pt idx="1136">
                    <c:v>تاریخ ختم</c:v>
                  </c:pt>
                  <c:pt idx="1137">
                    <c:v>30/9/1397</c:v>
                  </c:pt>
                  <c:pt idx="1138">
                    <c:v>30/9/1397</c:v>
                  </c:pt>
                  <c:pt idx="1139">
                    <c:v>30/9/1397</c:v>
                  </c:pt>
                  <c:pt idx="1140">
                    <c:v>30/9/1397</c:v>
                  </c:pt>
                  <c:pt idx="1141">
                    <c:v>30/9/1397</c:v>
                  </c:pt>
                  <c:pt idx="1142">
                    <c:v>30/9/1397</c:v>
                  </c:pt>
                </c:lvl>
                <c:lvl>
                  <c:pt idx="2">
                    <c:v>واحد</c:v>
                  </c:pt>
                  <c:pt idx="4">
                    <c:v>پروژه عایداتی</c:v>
                  </c:pt>
                  <c:pt idx="5">
                    <c:v>کیلو گرام </c:v>
                  </c:pt>
                  <c:pt idx="6">
                    <c:v>کرایه </c:v>
                  </c:pt>
                  <c:pt idx="8">
                    <c:v>واحد</c:v>
                  </c:pt>
                  <c:pt idx="9">
                    <c:v>پروژه عایداتی</c:v>
                  </c:pt>
                  <c:pt idx="10">
                    <c:v>کیلو گرام</c:v>
                  </c:pt>
                  <c:pt idx="11">
                    <c:v>کرایه </c:v>
                  </c:pt>
                  <c:pt idx="13">
                    <c:v>واحد</c:v>
                  </c:pt>
                  <c:pt idx="14">
                    <c:v>پروژه عایداتی</c:v>
                  </c:pt>
                  <c:pt idx="15">
                    <c:v>کیلوگرام</c:v>
                  </c:pt>
                  <c:pt idx="16">
                    <c:v>متر مکعب </c:v>
                  </c:pt>
                  <c:pt idx="19">
                    <c:v>واحد</c:v>
                  </c:pt>
                  <c:pt idx="20">
                    <c:v>پروژه عایداتی</c:v>
                  </c:pt>
                  <c:pt idx="21">
                    <c:v>کیلو گرام </c:v>
                  </c:pt>
                  <c:pt idx="22">
                    <c:v>اصله</c:v>
                  </c:pt>
                  <c:pt idx="24">
                    <c:v>واحد</c:v>
                  </c:pt>
                  <c:pt idx="25">
                    <c:v>پروژه عایداتی</c:v>
                  </c:pt>
                  <c:pt idx="26">
                    <c:v>کیلو گرام </c:v>
                  </c:pt>
                  <c:pt idx="27">
                    <c:v>0</c:v>
                  </c:pt>
                  <c:pt idx="29">
                    <c:v>واحد</c:v>
                  </c:pt>
                  <c:pt idx="30">
                    <c:v>نفر </c:v>
                  </c:pt>
                  <c:pt idx="33">
                    <c:v>واحد</c:v>
                  </c:pt>
                  <c:pt idx="34">
                    <c:v>نفر</c:v>
                  </c:pt>
                  <c:pt idx="37">
                    <c:v>واحد</c:v>
                  </c:pt>
                  <c:pt idx="38">
                    <c:v>نفر</c:v>
                  </c:pt>
                  <c:pt idx="41">
                    <c:v>واحد</c:v>
                  </c:pt>
                  <c:pt idx="42">
                    <c:v>پروژه عایداتی</c:v>
                  </c:pt>
                  <c:pt idx="43">
                    <c:v>کیلو گرام </c:v>
                  </c:pt>
                  <c:pt idx="44">
                    <c:v>متر مکعب </c:v>
                  </c:pt>
                  <c:pt idx="47">
                    <c:v>واحد</c:v>
                  </c:pt>
                  <c:pt idx="48">
                    <c:v>پروژه عایداتی</c:v>
                  </c:pt>
                  <c:pt idx="49">
                    <c:v>کیلو گرام </c:v>
                  </c:pt>
                  <c:pt idx="50">
                    <c:v>کیلو گرام </c:v>
                  </c:pt>
                  <c:pt idx="51">
                    <c:v>متر مکعب </c:v>
                  </c:pt>
                  <c:pt idx="52">
                    <c:v>انجممن </c:v>
                  </c:pt>
                  <c:pt idx="54">
                    <c:v>واحد</c:v>
                  </c:pt>
                  <c:pt idx="55">
                    <c:v>پروژه عایداتی</c:v>
                  </c:pt>
                  <c:pt idx="56">
                    <c:v>کیلو گرام </c:v>
                  </c:pt>
                  <c:pt idx="59">
                    <c:v>واحد</c:v>
                  </c:pt>
                  <c:pt idx="60">
                    <c:v>پروژه عایداتی</c:v>
                  </c:pt>
                  <c:pt idx="61">
                    <c:v>کیلو گرام </c:v>
                  </c:pt>
                  <c:pt idx="64">
                    <c:v>واحد</c:v>
                  </c:pt>
                  <c:pt idx="65">
                    <c:v>نفر </c:v>
                  </c:pt>
                  <c:pt idx="70">
                    <c:v>واحد مقیاس</c:v>
                  </c:pt>
                  <c:pt idx="72">
                    <c:v>انجمن</c:v>
                  </c:pt>
                  <c:pt idx="73">
                    <c:v>نفر</c:v>
                  </c:pt>
                  <c:pt idx="74">
                    <c:v>هکتار</c:v>
                  </c:pt>
                  <c:pt idx="75">
                    <c:v>هکتار</c:v>
                  </c:pt>
                  <c:pt idx="76">
                    <c:v>کیلوگرام </c:v>
                  </c:pt>
                  <c:pt idx="77">
                    <c:v>مترمربع </c:v>
                  </c:pt>
                  <c:pt idx="78">
                    <c:v>هکتار</c:v>
                  </c:pt>
                  <c:pt idx="79">
                    <c:v>حلقه </c:v>
                  </c:pt>
                  <c:pt idx="80">
                    <c:v>چاله </c:v>
                  </c:pt>
                  <c:pt idx="81">
                    <c:v>کیلوگرام</c:v>
                  </c:pt>
                  <c:pt idx="82">
                    <c:v>عدد</c:v>
                  </c:pt>
                  <c:pt idx="83">
                    <c:v>لیتر</c:v>
                  </c:pt>
                  <c:pt idx="86">
                    <c:v>واحد</c:v>
                  </c:pt>
                  <c:pt idx="87">
                    <c:v>هکتار</c:v>
                  </c:pt>
                  <c:pt idx="88">
                    <c:v>نفر</c:v>
                  </c:pt>
                  <c:pt idx="89">
                    <c:v>نفر</c:v>
                  </c:pt>
                  <c:pt idx="90">
                    <c:v>هکتار</c:v>
                  </c:pt>
                  <c:pt idx="91">
                    <c:v>قلمه </c:v>
                  </c:pt>
                  <c:pt idx="92">
                    <c:v>قلمه </c:v>
                  </c:pt>
                  <c:pt idx="93">
                    <c:v>اصله</c:v>
                  </c:pt>
                  <c:pt idx="94">
                    <c:v>عراده </c:v>
                  </c:pt>
                  <c:pt idx="95">
                    <c:v>حلقه </c:v>
                  </c:pt>
                  <c:pt idx="96">
                    <c:v>اصله</c:v>
                  </c:pt>
                  <c:pt idx="97">
                    <c:v>لیتر</c:v>
                  </c:pt>
                  <c:pt idx="98">
                    <c:v>اصله</c:v>
                  </c:pt>
                  <c:pt idx="99">
                    <c:v>مترمربع </c:v>
                  </c:pt>
                  <c:pt idx="100">
                    <c:v>کیلوگرام </c:v>
                  </c:pt>
                  <c:pt idx="101">
                    <c:v>مترمربع </c:v>
                  </c:pt>
                  <c:pt idx="102">
                    <c:v>کیلوگرام</c:v>
                  </c:pt>
                  <c:pt idx="103">
                    <c:v>مترمربع </c:v>
                  </c:pt>
                  <c:pt idx="104">
                    <c:v>نفر</c:v>
                  </c:pt>
                  <c:pt idx="105">
                    <c:v>هکتار</c:v>
                  </c:pt>
                  <c:pt idx="106">
                    <c:v>حلقه </c:v>
                  </c:pt>
                  <c:pt idx="107">
                    <c:v>چاله </c:v>
                  </c:pt>
                  <c:pt idx="108">
                    <c:v>کیلوگرام</c:v>
                  </c:pt>
                  <c:pt idx="109">
                    <c:v>عدد</c:v>
                  </c:pt>
                  <c:pt idx="110">
                    <c:v>لیتر</c:v>
                  </c:pt>
                  <c:pt idx="111">
                    <c:v>لیتر</c:v>
                  </c:pt>
                  <c:pt idx="114">
                    <c:v>واحد</c:v>
                  </c:pt>
                  <c:pt idx="115">
                    <c:v>انجمن</c:v>
                  </c:pt>
                  <c:pt idx="116">
                    <c:v>نفر</c:v>
                  </c:pt>
                  <c:pt idx="117">
                    <c:v>هکتار</c:v>
                  </c:pt>
                  <c:pt idx="118">
                    <c:v>هکتار</c:v>
                  </c:pt>
                  <c:pt idx="119">
                    <c:v>کیلوگرام </c:v>
                  </c:pt>
                  <c:pt idx="120">
                    <c:v>مترمربع </c:v>
                  </c:pt>
                  <c:pt idx="121">
                    <c:v>هکتار</c:v>
                  </c:pt>
                  <c:pt idx="122">
                    <c:v>حلقه </c:v>
                  </c:pt>
                  <c:pt idx="123">
                    <c:v>چاله </c:v>
                  </c:pt>
                  <c:pt idx="124">
                    <c:v>کیلوگرام</c:v>
                  </c:pt>
                  <c:pt idx="125">
                    <c:v>عدد</c:v>
                  </c:pt>
                  <c:pt idx="126">
                    <c:v>لیتر</c:v>
                  </c:pt>
                  <c:pt idx="129">
                    <c:v>واحد</c:v>
                  </c:pt>
                  <c:pt idx="130">
                    <c:v>نفر</c:v>
                  </c:pt>
                  <c:pt idx="131">
                    <c:v>هکتار</c:v>
                  </c:pt>
                  <c:pt idx="132">
                    <c:v>قلمه </c:v>
                  </c:pt>
                  <c:pt idx="133">
                    <c:v>قلمه </c:v>
                  </c:pt>
                  <c:pt idx="134">
                    <c:v>اصله</c:v>
                  </c:pt>
                  <c:pt idx="135">
                    <c:v>عراده </c:v>
                  </c:pt>
                  <c:pt idx="136">
                    <c:v>حلقه </c:v>
                  </c:pt>
                  <c:pt idx="137">
                    <c:v>اصله</c:v>
                  </c:pt>
                  <c:pt idx="138">
                    <c:v>لیتر</c:v>
                  </c:pt>
                  <c:pt idx="139">
                    <c:v>اصله</c:v>
                  </c:pt>
                  <c:pt idx="140">
                    <c:v>مترمربع </c:v>
                  </c:pt>
                  <c:pt idx="141">
                    <c:v>کیلوگرام </c:v>
                  </c:pt>
                  <c:pt idx="142">
                    <c:v>مترمربع </c:v>
                  </c:pt>
                  <c:pt idx="143">
                    <c:v>کیلوگرام</c:v>
                  </c:pt>
                  <c:pt idx="144">
                    <c:v>مترمربع </c:v>
                  </c:pt>
                  <c:pt idx="145">
                    <c:v>نفر</c:v>
                  </c:pt>
                  <c:pt idx="146">
                    <c:v>هکتار</c:v>
                  </c:pt>
                  <c:pt idx="147">
                    <c:v>حلقه </c:v>
                  </c:pt>
                  <c:pt idx="148">
                    <c:v>قلمه </c:v>
                  </c:pt>
                  <c:pt idx="149">
                    <c:v>چاله </c:v>
                  </c:pt>
                  <c:pt idx="150">
                    <c:v>دسته </c:v>
                  </c:pt>
                  <c:pt idx="151">
                    <c:v>عدد</c:v>
                  </c:pt>
                  <c:pt idx="152">
                    <c:v>لیتر</c:v>
                  </c:pt>
                  <c:pt idx="153">
                    <c:v>عراده</c:v>
                  </c:pt>
                  <c:pt idx="154">
                    <c:v>لیتر</c:v>
                  </c:pt>
                  <c:pt idx="157">
                    <c:v>واحد</c:v>
                  </c:pt>
                  <c:pt idx="158">
                    <c:v>انجمن</c:v>
                  </c:pt>
                  <c:pt idx="159">
                    <c:v>نفر</c:v>
                  </c:pt>
                  <c:pt idx="160">
                    <c:v>هکتار</c:v>
                  </c:pt>
                  <c:pt idx="161">
                    <c:v>هکتار</c:v>
                  </c:pt>
                  <c:pt idx="162">
                    <c:v>کیلوگرام </c:v>
                  </c:pt>
                  <c:pt idx="163">
                    <c:v>مترمربع </c:v>
                  </c:pt>
                  <c:pt idx="164">
                    <c:v>هکتار</c:v>
                  </c:pt>
                  <c:pt idx="165">
                    <c:v>حلقه </c:v>
                  </c:pt>
                  <c:pt idx="166">
                    <c:v>حلقه </c:v>
                  </c:pt>
                  <c:pt idx="167">
                    <c:v>کیلوگرام</c:v>
                  </c:pt>
                  <c:pt idx="168">
                    <c:v>عدد</c:v>
                  </c:pt>
                  <c:pt idx="169">
                    <c:v>لیتر</c:v>
                  </c:pt>
                  <c:pt idx="172">
                    <c:v>واحد</c:v>
                  </c:pt>
                  <c:pt idx="173">
                    <c:v>هکتار</c:v>
                  </c:pt>
                  <c:pt idx="174">
                    <c:v>نفر</c:v>
                  </c:pt>
                  <c:pt idx="175">
                    <c:v>نفر</c:v>
                  </c:pt>
                  <c:pt idx="176">
                    <c:v>مترمربع </c:v>
                  </c:pt>
                  <c:pt idx="177">
                    <c:v>نفر</c:v>
                  </c:pt>
                  <c:pt idx="180">
                    <c:v>واحد</c:v>
                  </c:pt>
                  <c:pt idx="181">
                    <c:v>هکتار</c:v>
                  </c:pt>
                  <c:pt idx="182">
                    <c:v>نفر</c:v>
                  </c:pt>
                  <c:pt idx="183">
                    <c:v>نفر</c:v>
                  </c:pt>
                  <c:pt idx="184">
                    <c:v>مترمربع </c:v>
                  </c:pt>
                  <c:pt idx="187">
                    <c:v>واحد</c:v>
                  </c:pt>
                  <c:pt idx="188">
                    <c:v>نفر</c:v>
                  </c:pt>
                  <c:pt idx="189">
                    <c:v>نفر</c:v>
                  </c:pt>
                  <c:pt idx="190">
                    <c:v>انجمن</c:v>
                  </c:pt>
                  <c:pt idx="191">
                    <c:v>نفر</c:v>
                  </c:pt>
                  <c:pt idx="192">
                    <c:v>هکتار</c:v>
                  </c:pt>
                  <c:pt idx="193">
                    <c:v>قلمه </c:v>
                  </c:pt>
                  <c:pt idx="194">
                    <c:v>قلمه </c:v>
                  </c:pt>
                  <c:pt idx="195">
                    <c:v>اصله</c:v>
                  </c:pt>
                  <c:pt idx="196">
                    <c:v>عراده </c:v>
                  </c:pt>
                  <c:pt idx="197">
                    <c:v>حلقه </c:v>
                  </c:pt>
                  <c:pt idx="198">
                    <c:v>اصله</c:v>
                  </c:pt>
                  <c:pt idx="199">
                    <c:v>لیتر</c:v>
                  </c:pt>
                  <c:pt idx="200">
                    <c:v>اصله</c:v>
                  </c:pt>
                  <c:pt idx="201">
                    <c:v>مترمربع </c:v>
                  </c:pt>
                  <c:pt idx="202">
                    <c:v>کیلوگرام </c:v>
                  </c:pt>
                  <c:pt idx="203">
                    <c:v>مترمربع </c:v>
                  </c:pt>
                  <c:pt idx="204">
                    <c:v>کیلوگرام</c:v>
                  </c:pt>
                  <c:pt idx="205">
                    <c:v>مترمربع </c:v>
                  </c:pt>
                  <c:pt idx="206">
                    <c:v>نفر</c:v>
                  </c:pt>
                  <c:pt idx="207">
                    <c:v>هکتار</c:v>
                  </c:pt>
                  <c:pt idx="208">
                    <c:v>قلمه </c:v>
                  </c:pt>
                  <c:pt idx="209">
                    <c:v>لیتر</c:v>
                  </c:pt>
                  <c:pt idx="210">
                    <c:v>لیتر</c:v>
                  </c:pt>
                  <c:pt idx="211">
                    <c:v>عدد</c:v>
                  </c:pt>
                  <c:pt idx="212">
                    <c:v>عدد</c:v>
                  </c:pt>
                  <c:pt idx="213">
                    <c:v>لیتر</c:v>
                  </c:pt>
                  <c:pt idx="216">
                    <c:v>واحد</c:v>
                  </c:pt>
                  <c:pt idx="217">
                    <c:v>نفر</c:v>
                  </c:pt>
                  <c:pt idx="218">
                    <c:v>هکتار</c:v>
                  </c:pt>
                  <c:pt idx="219">
                    <c:v>هکتار</c:v>
                  </c:pt>
                  <c:pt idx="220">
                    <c:v>قلمه </c:v>
                  </c:pt>
                  <c:pt idx="221">
                    <c:v>قلمه </c:v>
                  </c:pt>
                  <c:pt idx="222">
                    <c:v>اصله</c:v>
                  </c:pt>
                  <c:pt idx="223">
                    <c:v>عراده </c:v>
                  </c:pt>
                  <c:pt idx="224">
                    <c:v>حلقه </c:v>
                  </c:pt>
                  <c:pt idx="225">
                    <c:v>اصله</c:v>
                  </c:pt>
                  <c:pt idx="226">
                    <c:v>لیتر</c:v>
                  </c:pt>
                  <c:pt idx="227">
                    <c:v>اصله</c:v>
                  </c:pt>
                  <c:pt idx="228">
                    <c:v>مترمربع </c:v>
                  </c:pt>
                  <c:pt idx="229">
                    <c:v>کیلوگرام </c:v>
                  </c:pt>
                  <c:pt idx="230">
                    <c:v>مترمربع </c:v>
                  </c:pt>
                  <c:pt idx="231">
                    <c:v>کیلوگرام</c:v>
                  </c:pt>
                  <c:pt idx="232">
                    <c:v>مترمربع </c:v>
                  </c:pt>
                  <c:pt idx="233">
                    <c:v>نفر</c:v>
                  </c:pt>
                  <c:pt idx="234">
                    <c:v>لیتر</c:v>
                  </c:pt>
                  <c:pt idx="237">
                    <c:v>واحد</c:v>
                  </c:pt>
                  <c:pt idx="238">
                    <c:v>انجمن</c:v>
                  </c:pt>
                  <c:pt idx="239">
                    <c:v>نفر</c:v>
                  </c:pt>
                  <c:pt idx="240">
                    <c:v>هکتار</c:v>
                  </c:pt>
                  <c:pt idx="241">
                    <c:v>کیلوگرام </c:v>
                  </c:pt>
                  <c:pt idx="242">
                    <c:v>مترمربع </c:v>
                  </c:pt>
                  <c:pt idx="245">
                    <c:v>واحد</c:v>
                  </c:pt>
                  <c:pt idx="246">
                    <c:v>انجمن</c:v>
                  </c:pt>
                  <c:pt idx="247">
                    <c:v>نفر</c:v>
                  </c:pt>
                  <c:pt idx="248">
                    <c:v>هکتار</c:v>
                  </c:pt>
                  <c:pt idx="249">
                    <c:v>کیلوگرام </c:v>
                  </c:pt>
                  <c:pt idx="250">
                    <c:v>مترمربع </c:v>
                  </c:pt>
                  <c:pt idx="253">
                    <c:v>واحد</c:v>
                  </c:pt>
                  <c:pt idx="254">
                    <c:v>انجمن</c:v>
                  </c:pt>
                  <c:pt idx="255">
                    <c:v>نفر</c:v>
                  </c:pt>
                  <c:pt idx="256">
                    <c:v>هکتار</c:v>
                  </c:pt>
                  <c:pt idx="257">
                    <c:v>کیلوگرام </c:v>
                  </c:pt>
                  <c:pt idx="258">
                    <c:v>مترمربع </c:v>
                  </c:pt>
                  <c:pt idx="261">
                    <c:v>واحد</c:v>
                  </c:pt>
                  <c:pt idx="262">
                    <c:v>انجمن</c:v>
                  </c:pt>
                  <c:pt idx="263">
                    <c:v>نفر</c:v>
                  </c:pt>
                  <c:pt idx="264">
                    <c:v>هکتار</c:v>
                  </c:pt>
                  <c:pt idx="265">
                    <c:v>کیلوگرام </c:v>
                  </c:pt>
                  <c:pt idx="266">
                    <c:v>مترمربع </c:v>
                  </c:pt>
                  <c:pt idx="269">
                    <c:v>واحد</c:v>
                  </c:pt>
                  <c:pt idx="270">
                    <c:v>انجمن</c:v>
                  </c:pt>
                  <c:pt idx="271">
                    <c:v>نفر</c:v>
                  </c:pt>
                  <c:pt idx="272">
                    <c:v>هکتار</c:v>
                  </c:pt>
                  <c:pt idx="273">
                    <c:v>کیلوگرام </c:v>
                  </c:pt>
                  <c:pt idx="274">
                    <c:v>مترمربع </c:v>
                  </c:pt>
                  <c:pt idx="275">
                    <c:v>هکتار</c:v>
                  </c:pt>
                  <c:pt idx="276">
                    <c:v>حلقه </c:v>
                  </c:pt>
                  <c:pt idx="277">
                    <c:v>حلقه </c:v>
                  </c:pt>
                  <c:pt idx="278">
                    <c:v>کیلوگرام</c:v>
                  </c:pt>
                  <c:pt idx="279">
                    <c:v>عدد</c:v>
                  </c:pt>
                  <c:pt idx="280">
                    <c:v>لیتر</c:v>
                  </c:pt>
                  <c:pt idx="283">
                    <c:v>واحد</c:v>
                  </c:pt>
                  <c:pt idx="284">
                    <c:v>انجمن</c:v>
                  </c:pt>
                  <c:pt idx="285">
                    <c:v>نفر</c:v>
                  </c:pt>
                  <c:pt idx="286">
                    <c:v>هکتار</c:v>
                  </c:pt>
                  <c:pt idx="287">
                    <c:v>کیلوگرام </c:v>
                  </c:pt>
                  <c:pt idx="288">
                    <c:v>مترمربع </c:v>
                  </c:pt>
                  <c:pt idx="289">
                    <c:v>هکتار</c:v>
                  </c:pt>
                  <c:pt idx="290">
                    <c:v>حلقه </c:v>
                  </c:pt>
                  <c:pt idx="291">
                    <c:v>حلقه </c:v>
                  </c:pt>
                  <c:pt idx="292">
                    <c:v>کیلوگرام</c:v>
                  </c:pt>
                  <c:pt idx="293">
                    <c:v>عدد</c:v>
                  </c:pt>
                  <c:pt idx="294">
                    <c:v>لیتر</c:v>
                  </c:pt>
                  <c:pt idx="297">
                    <c:v>نفر</c:v>
                  </c:pt>
                  <c:pt idx="298">
                    <c:v>نفر</c:v>
                  </c:pt>
                  <c:pt idx="302">
                    <c:v>واحد</c:v>
                  </c:pt>
                  <c:pt idx="303">
                    <c:v>مترمربع </c:v>
                  </c:pt>
                  <c:pt idx="304">
                    <c:v>مترمربع </c:v>
                  </c:pt>
                  <c:pt idx="305">
                    <c:v>متر</c:v>
                  </c:pt>
                  <c:pt idx="306">
                    <c:v>مترمکعب</c:v>
                  </c:pt>
                  <c:pt idx="307">
                    <c:v>اصله </c:v>
                  </c:pt>
                  <c:pt idx="308">
                    <c:v>مترمربع </c:v>
                  </c:pt>
                  <c:pt idx="309">
                    <c:v>مرتبه </c:v>
                  </c:pt>
                  <c:pt idx="311">
                    <c:v>مترمربع </c:v>
                  </c:pt>
                  <c:pt idx="312">
                    <c:v>مترمربع </c:v>
                  </c:pt>
                  <c:pt idx="313">
                    <c:v>متر</c:v>
                  </c:pt>
                  <c:pt idx="314">
                    <c:v>مترمکعب</c:v>
                  </c:pt>
                  <c:pt idx="315">
                    <c:v>اصله </c:v>
                  </c:pt>
                  <c:pt idx="316">
                    <c:v>مترمربع </c:v>
                  </c:pt>
                  <c:pt idx="317">
                    <c:v>مرتبه </c:v>
                  </c:pt>
                  <c:pt idx="319">
                    <c:v>متر مربع </c:v>
                  </c:pt>
                  <c:pt idx="320">
                    <c:v>متر مربع </c:v>
                  </c:pt>
                  <c:pt idx="321">
                    <c:v>متر مربع </c:v>
                  </c:pt>
                  <c:pt idx="322">
                    <c:v>متر</c:v>
                  </c:pt>
                  <c:pt idx="323">
                    <c:v>متر مکعب</c:v>
                  </c:pt>
                  <c:pt idx="324">
                    <c:v>اصله </c:v>
                  </c:pt>
                  <c:pt idx="325">
                    <c:v>مرتبه </c:v>
                  </c:pt>
                  <c:pt idx="327">
                    <c:v>مترمربع </c:v>
                  </c:pt>
                  <c:pt idx="328">
                    <c:v>متر </c:v>
                  </c:pt>
                  <c:pt idx="329">
                    <c:v>متر</c:v>
                  </c:pt>
                  <c:pt idx="330">
                    <c:v>مترمربع </c:v>
                  </c:pt>
                  <c:pt idx="331">
                    <c:v>مرتبه </c:v>
                  </c:pt>
                  <c:pt idx="332">
                    <c:v>مرتبه </c:v>
                  </c:pt>
                  <c:pt idx="334">
                    <c:v>مترمربع </c:v>
                  </c:pt>
                  <c:pt idx="335">
                    <c:v>مترمربع </c:v>
                  </c:pt>
                  <c:pt idx="336">
                    <c:v>مترمربع </c:v>
                  </c:pt>
                  <c:pt idx="337">
                    <c:v>متر</c:v>
                  </c:pt>
                  <c:pt idx="338">
                    <c:v>مترمکعب</c:v>
                  </c:pt>
                  <c:pt idx="339">
                    <c:v>مرتبه </c:v>
                  </c:pt>
                  <c:pt idx="340">
                    <c:v>شبکه </c:v>
                  </c:pt>
                  <c:pt idx="342">
                    <c:v>مترمربع </c:v>
                  </c:pt>
                  <c:pt idx="343">
                    <c:v>مترمربع </c:v>
                  </c:pt>
                  <c:pt idx="344">
                    <c:v>متر</c:v>
                  </c:pt>
                  <c:pt idx="345">
                    <c:v>مترمکعب</c:v>
                  </c:pt>
                  <c:pt idx="346">
                    <c:v>مرتبه </c:v>
                  </c:pt>
                  <c:pt idx="348">
                    <c:v>مترمربع </c:v>
                  </c:pt>
                  <c:pt idx="349">
                    <c:v>مترمربع </c:v>
                  </c:pt>
                  <c:pt idx="350">
                    <c:v>خریطه</c:v>
                  </c:pt>
                  <c:pt idx="351">
                    <c:v>مترمربع </c:v>
                  </c:pt>
                  <c:pt idx="352">
                    <c:v>متر</c:v>
                  </c:pt>
                  <c:pt idx="353">
                    <c:v>مترمکعب</c:v>
                  </c:pt>
                  <c:pt idx="354">
                    <c:v>اصله </c:v>
                  </c:pt>
                  <c:pt idx="355">
                    <c:v>مرتبه </c:v>
                  </c:pt>
                  <c:pt idx="357">
                    <c:v>مترمربع </c:v>
                  </c:pt>
                  <c:pt idx="358">
                    <c:v>مترمربع </c:v>
                  </c:pt>
                  <c:pt idx="359">
                    <c:v>متر</c:v>
                  </c:pt>
                  <c:pt idx="360">
                    <c:v>مترمکعب</c:v>
                  </c:pt>
                  <c:pt idx="361">
                    <c:v>مترمربع </c:v>
                  </c:pt>
                  <c:pt idx="362">
                    <c:v>سیتم </c:v>
                  </c:pt>
                  <c:pt idx="363">
                    <c:v>مرتبه </c:v>
                  </c:pt>
                  <c:pt idx="365">
                    <c:v>مترمربع </c:v>
                  </c:pt>
                  <c:pt idx="366">
                    <c:v>مترمربع </c:v>
                  </c:pt>
                  <c:pt idx="367">
                    <c:v>مترمربع </c:v>
                  </c:pt>
                  <c:pt idx="368">
                    <c:v>متر</c:v>
                  </c:pt>
                  <c:pt idx="369">
                    <c:v>مترمکعب</c:v>
                  </c:pt>
                  <c:pt idx="370">
                    <c:v>اصله </c:v>
                  </c:pt>
                  <c:pt idx="371">
                    <c:v>مرتبه </c:v>
                  </c:pt>
                  <c:pt idx="373">
                    <c:v>مترمربع </c:v>
                  </c:pt>
                  <c:pt idx="374">
                    <c:v>مترمربع </c:v>
                  </c:pt>
                  <c:pt idx="375">
                    <c:v>خریطه</c:v>
                  </c:pt>
                  <c:pt idx="376">
                    <c:v>مترمربع </c:v>
                  </c:pt>
                  <c:pt idx="377">
                    <c:v>متر</c:v>
                  </c:pt>
                  <c:pt idx="378">
                    <c:v>مترمکعب</c:v>
                  </c:pt>
                  <c:pt idx="379">
                    <c:v>اصله </c:v>
                  </c:pt>
                  <c:pt idx="380">
                    <c:v>مرتبه </c:v>
                  </c:pt>
                  <c:pt idx="382">
                    <c:v>مترمربع </c:v>
                  </c:pt>
                  <c:pt idx="383">
                    <c:v>مترمربع </c:v>
                  </c:pt>
                  <c:pt idx="384">
                    <c:v>مترمربع </c:v>
                  </c:pt>
                  <c:pt idx="385">
                    <c:v>متر</c:v>
                  </c:pt>
                  <c:pt idx="386">
                    <c:v>مترمکعب</c:v>
                  </c:pt>
                  <c:pt idx="387">
                    <c:v>اصله </c:v>
                  </c:pt>
                  <c:pt idx="388">
                    <c:v>مرتبه </c:v>
                  </c:pt>
                  <c:pt idx="390">
                    <c:v>مترمربع </c:v>
                  </c:pt>
                  <c:pt idx="391">
                    <c:v>مترمربع </c:v>
                  </c:pt>
                  <c:pt idx="392">
                    <c:v>مترمربع </c:v>
                  </c:pt>
                  <c:pt idx="393">
                    <c:v>متر</c:v>
                  </c:pt>
                  <c:pt idx="394">
                    <c:v>مترمکعب</c:v>
                  </c:pt>
                  <c:pt idx="395">
                    <c:v>حلقه </c:v>
                  </c:pt>
                  <c:pt idx="396">
                    <c:v>مرتبه </c:v>
                  </c:pt>
                  <c:pt idx="398">
                    <c:v>مترمربع </c:v>
                  </c:pt>
                  <c:pt idx="399">
                    <c:v>مترمربع </c:v>
                  </c:pt>
                  <c:pt idx="400">
                    <c:v>مترمربع </c:v>
                  </c:pt>
                  <c:pt idx="401">
                    <c:v>خریطه</c:v>
                  </c:pt>
                  <c:pt idx="402">
                    <c:v>متر</c:v>
                  </c:pt>
                  <c:pt idx="403">
                    <c:v>مترمکعب</c:v>
                  </c:pt>
                  <c:pt idx="404">
                    <c:v>اصله </c:v>
                  </c:pt>
                  <c:pt idx="405">
                    <c:v>حلقه </c:v>
                  </c:pt>
                  <c:pt idx="406">
                    <c:v>مرتبه </c:v>
                  </c:pt>
                  <c:pt idx="408">
                    <c:v>مترمربع </c:v>
                  </c:pt>
                  <c:pt idx="409">
                    <c:v>مترمربع </c:v>
                  </c:pt>
                  <c:pt idx="410">
                    <c:v>متر</c:v>
                  </c:pt>
                  <c:pt idx="411">
                    <c:v>مترمکعب</c:v>
                  </c:pt>
                  <c:pt idx="412">
                    <c:v>مترمربع </c:v>
                  </c:pt>
                  <c:pt idx="413">
                    <c:v>باب </c:v>
                  </c:pt>
                  <c:pt idx="414">
                    <c:v>مرتبه </c:v>
                  </c:pt>
                  <c:pt idx="416">
                    <c:v>مترمربع </c:v>
                  </c:pt>
                  <c:pt idx="417">
                    <c:v>متر</c:v>
                  </c:pt>
                  <c:pt idx="418">
                    <c:v>مترمکعب</c:v>
                  </c:pt>
                  <c:pt idx="419">
                    <c:v>مترمربع </c:v>
                  </c:pt>
                  <c:pt idx="420">
                    <c:v>حلقه </c:v>
                  </c:pt>
                  <c:pt idx="421">
                    <c:v>مرتبه </c:v>
                  </c:pt>
                  <c:pt idx="423">
                    <c:v>مترمربع </c:v>
                  </c:pt>
                  <c:pt idx="424">
                    <c:v>مترمربع </c:v>
                  </c:pt>
                  <c:pt idx="425">
                    <c:v>خریطه</c:v>
                  </c:pt>
                  <c:pt idx="426">
                    <c:v>مترمربع </c:v>
                  </c:pt>
                  <c:pt idx="427">
                    <c:v>متر</c:v>
                  </c:pt>
                  <c:pt idx="428">
                    <c:v>مترمکعب</c:v>
                  </c:pt>
                  <c:pt idx="429">
                    <c:v>اصله </c:v>
                  </c:pt>
                  <c:pt idx="430">
                    <c:v>حلقه </c:v>
                  </c:pt>
                  <c:pt idx="431">
                    <c:v>اصله </c:v>
                  </c:pt>
                  <c:pt idx="432">
                    <c:v>اصله </c:v>
                  </c:pt>
                  <c:pt idx="433">
                    <c:v>مرتبه </c:v>
                  </c:pt>
                  <c:pt idx="434">
                    <c:v>نفر</c:v>
                  </c:pt>
                  <c:pt idx="435">
                    <c:v>مرتبه </c:v>
                  </c:pt>
                  <c:pt idx="436">
                    <c:v>اصله </c:v>
                  </c:pt>
                  <c:pt idx="437">
                    <c:v>مرتبه </c:v>
                  </c:pt>
                  <c:pt idx="439">
                    <c:v>مترمربع </c:v>
                  </c:pt>
                  <c:pt idx="440">
                    <c:v>مترمربع </c:v>
                  </c:pt>
                  <c:pt idx="441">
                    <c:v>متر</c:v>
                  </c:pt>
                  <c:pt idx="442">
                    <c:v>مترمکعب</c:v>
                  </c:pt>
                  <c:pt idx="443">
                    <c:v>اصله </c:v>
                  </c:pt>
                  <c:pt idx="444">
                    <c:v>مترمربع </c:v>
                  </c:pt>
                  <c:pt idx="445">
                    <c:v>مرتبه </c:v>
                  </c:pt>
                  <c:pt idx="447">
                    <c:v>مترمربع </c:v>
                  </c:pt>
                  <c:pt idx="448">
                    <c:v>خریطه</c:v>
                  </c:pt>
                  <c:pt idx="449">
                    <c:v>مترمربع </c:v>
                  </c:pt>
                  <c:pt idx="450">
                    <c:v>متر</c:v>
                  </c:pt>
                  <c:pt idx="451">
                    <c:v>مترمکعب</c:v>
                  </c:pt>
                  <c:pt idx="452">
                    <c:v>اصله </c:v>
                  </c:pt>
                  <c:pt idx="453">
                    <c:v>مترمربع </c:v>
                  </c:pt>
                  <c:pt idx="454">
                    <c:v>مرتبه </c:v>
                  </c:pt>
                  <c:pt idx="456">
                    <c:v>مترمربع </c:v>
                  </c:pt>
                  <c:pt idx="457">
                    <c:v>مترمربع </c:v>
                  </c:pt>
                  <c:pt idx="458">
                    <c:v>مترمربع </c:v>
                  </c:pt>
                  <c:pt idx="459">
                    <c:v>متر</c:v>
                  </c:pt>
                  <c:pt idx="460">
                    <c:v>مترمکعب</c:v>
                  </c:pt>
                  <c:pt idx="461">
                    <c:v>اصله </c:v>
                  </c:pt>
                  <c:pt idx="462">
                    <c:v>مرتبه </c:v>
                  </c:pt>
                  <c:pt idx="464">
                    <c:v>مترمربع </c:v>
                  </c:pt>
                  <c:pt idx="465">
                    <c:v>مترمربع </c:v>
                  </c:pt>
                  <c:pt idx="466">
                    <c:v>خریطه</c:v>
                  </c:pt>
                  <c:pt idx="467">
                    <c:v>مترمربع </c:v>
                  </c:pt>
                  <c:pt idx="468">
                    <c:v>متر</c:v>
                  </c:pt>
                  <c:pt idx="469">
                    <c:v>مترمکعب</c:v>
                  </c:pt>
                  <c:pt idx="470">
                    <c:v>اصله </c:v>
                  </c:pt>
                  <c:pt idx="471">
                    <c:v>مرتبه </c:v>
                  </c:pt>
                  <c:pt idx="473">
                    <c:v>مترمربع </c:v>
                  </c:pt>
                  <c:pt idx="474">
                    <c:v>مترمربع </c:v>
                  </c:pt>
                  <c:pt idx="475">
                    <c:v>متر</c:v>
                  </c:pt>
                  <c:pt idx="476">
                    <c:v>مترمکعب</c:v>
                  </c:pt>
                  <c:pt idx="477">
                    <c:v>اصله </c:v>
                  </c:pt>
                  <c:pt idx="478">
                    <c:v>مترمربع </c:v>
                  </c:pt>
                  <c:pt idx="479">
                    <c:v>مرتبه </c:v>
                  </c:pt>
                  <c:pt idx="481">
                    <c:v>مترمربع </c:v>
                  </c:pt>
                  <c:pt idx="482">
                    <c:v>مترمربع </c:v>
                  </c:pt>
                  <c:pt idx="483">
                    <c:v>متر</c:v>
                  </c:pt>
                  <c:pt idx="484">
                    <c:v>مترمکعب</c:v>
                  </c:pt>
                  <c:pt idx="485">
                    <c:v>اصله </c:v>
                  </c:pt>
                  <c:pt idx="486">
                    <c:v>مترمربع </c:v>
                  </c:pt>
                  <c:pt idx="487">
                    <c:v>مرتبه </c:v>
                  </c:pt>
                  <c:pt idx="489">
                    <c:v>مترمربع </c:v>
                  </c:pt>
                  <c:pt idx="490">
                    <c:v>مترمربع </c:v>
                  </c:pt>
                  <c:pt idx="491">
                    <c:v>متر</c:v>
                  </c:pt>
                  <c:pt idx="492">
                    <c:v>مترمکعب</c:v>
                  </c:pt>
                  <c:pt idx="493">
                    <c:v>اصله </c:v>
                  </c:pt>
                  <c:pt idx="494">
                    <c:v>مترمربع </c:v>
                  </c:pt>
                  <c:pt idx="495">
                    <c:v>مرتبه </c:v>
                  </c:pt>
                  <c:pt idx="497">
                    <c:v>مترمربع </c:v>
                  </c:pt>
                  <c:pt idx="498">
                    <c:v>مترمربع </c:v>
                  </c:pt>
                  <c:pt idx="499">
                    <c:v>متر</c:v>
                  </c:pt>
                  <c:pt idx="500">
                    <c:v>مترمکعب</c:v>
                  </c:pt>
                  <c:pt idx="501">
                    <c:v>اصله </c:v>
                  </c:pt>
                  <c:pt idx="502">
                    <c:v>مترمربع </c:v>
                  </c:pt>
                  <c:pt idx="503">
                    <c:v>مرتبه </c:v>
                  </c:pt>
                  <c:pt idx="505">
                    <c:v>مترمربع </c:v>
                  </c:pt>
                  <c:pt idx="506">
                    <c:v>مترمربع </c:v>
                  </c:pt>
                  <c:pt idx="507">
                    <c:v>مترمربع </c:v>
                  </c:pt>
                  <c:pt idx="508">
                    <c:v>متر</c:v>
                  </c:pt>
                  <c:pt idx="509">
                    <c:v>مترمکعب</c:v>
                  </c:pt>
                  <c:pt idx="510">
                    <c:v>اصله </c:v>
                  </c:pt>
                  <c:pt idx="511">
                    <c:v>مرتبه </c:v>
                  </c:pt>
                  <c:pt idx="513">
                    <c:v>مترمربع </c:v>
                  </c:pt>
                  <c:pt idx="514">
                    <c:v>مترمربع </c:v>
                  </c:pt>
                  <c:pt idx="515">
                    <c:v>مترمربع </c:v>
                  </c:pt>
                  <c:pt idx="516">
                    <c:v>متر</c:v>
                  </c:pt>
                  <c:pt idx="517">
                    <c:v>مترمکعب</c:v>
                  </c:pt>
                  <c:pt idx="518">
                    <c:v>مرتبه </c:v>
                  </c:pt>
                  <c:pt idx="520">
                    <c:v>مترمربع </c:v>
                  </c:pt>
                  <c:pt idx="521">
                    <c:v>مترمربع </c:v>
                  </c:pt>
                  <c:pt idx="522">
                    <c:v>مترمربع </c:v>
                  </c:pt>
                  <c:pt idx="523">
                    <c:v>متر</c:v>
                  </c:pt>
                  <c:pt idx="524">
                    <c:v>مترمکعب</c:v>
                  </c:pt>
                  <c:pt idx="525">
                    <c:v>اصله </c:v>
                  </c:pt>
                  <c:pt idx="526">
                    <c:v>مرتبه </c:v>
                  </c:pt>
                  <c:pt idx="528">
                    <c:v>مترمربع </c:v>
                  </c:pt>
                  <c:pt idx="529">
                    <c:v>مترمربع </c:v>
                  </c:pt>
                  <c:pt idx="530">
                    <c:v>مترمربع </c:v>
                  </c:pt>
                  <c:pt idx="531">
                    <c:v>متر</c:v>
                  </c:pt>
                  <c:pt idx="532">
                    <c:v>مترمکعب</c:v>
                  </c:pt>
                  <c:pt idx="533">
                    <c:v>اصله </c:v>
                  </c:pt>
                  <c:pt idx="534">
                    <c:v>مرتبه </c:v>
                  </c:pt>
                  <c:pt idx="538">
                    <c:v>واحد</c:v>
                  </c:pt>
                  <c:pt idx="539">
                    <c:v>نفر</c:v>
                  </c:pt>
                  <c:pt idx="540">
                    <c:v>نفر</c:v>
                  </c:pt>
                  <c:pt idx="541">
                    <c:v>متر</c:v>
                  </c:pt>
                  <c:pt idx="542">
                    <c:v>شبکه</c:v>
                  </c:pt>
                  <c:pt idx="544">
                    <c:v>واحد</c:v>
                  </c:pt>
                  <c:pt idx="545">
                    <c:v>نفر</c:v>
                  </c:pt>
                  <c:pt idx="546">
                    <c:v>نفر</c:v>
                  </c:pt>
                  <c:pt idx="548">
                    <c:v>واحد</c:v>
                  </c:pt>
                  <c:pt idx="549">
                    <c:v>نفر</c:v>
                  </c:pt>
                  <c:pt idx="553">
                    <c:v>نفر </c:v>
                  </c:pt>
                  <c:pt idx="565">
                    <c:v>محل امضاء</c:v>
                  </c:pt>
                  <c:pt idx="581">
                    <c:v>ارزش مجموعی</c:v>
                  </c:pt>
                  <c:pt idx="583">
                    <c:v> 800,000 </c:v>
                  </c:pt>
                  <c:pt idx="584">
                    <c:v> 64,000 </c:v>
                  </c:pt>
                  <c:pt idx="585">
                    <c:v> 40,000 </c:v>
                  </c:pt>
                  <c:pt idx="586">
                    <c:v> 904,000 </c:v>
                  </c:pt>
                  <c:pt idx="587">
                    <c:v>قیمت</c:v>
                  </c:pt>
                  <c:pt idx="588">
                    <c:v> 1,000,000 </c:v>
                  </c:pt>
                  <c:pt idx="589">
                    <c:v> 80,000 </c:v>
                  </c:pt>
                  <c:pt idx="590">
                    <c:v> 40,000 </c:v>
                  </c:pt>
                  <c:pt idx="591">
                    <c:v> 1,120,000 </c:v>
                  </c:pt>
                  <c:pt idx="592">
                    <c:v>قیمت</c:v>
                  </c:pt>
                  <c:pt idx="593">
                    <c:v> 400,000 </c:v>
                  </c:pt>
                  <c:pt idx="594">
                    <c:v> 32,000 </c:v>
                  </c:pt>
                  <c:pt idx="595">
                    <c:v> 160,000 </c:v>
                  </c:pt>
                  <c:pt idx="596">
                    <c:v> 40,000 </c:v>
                  </c:pt>
                  <c:pt idx="597">
                    <c:v> 632,000 </c:v>
                  </c:pt>
                  <c:pt idx="598">
                    <c:v>قیمت</c:v>
                  </c:pt>
                  <c:pt idx="599">
                    <c:v> 400,000 </c:v>
                  </c:pt>
                  <c:pt idx="600">
                    <c:v> 32,000 </c:v>
                  </c:pt>
                  <c:pt idx="601">
                    <c:v> 40,000 </c:v>
                  </c:pt>
                  <c:pt idx="602">
                    <c:v> 472,000 </c:v>
                  </c:pt>
                  <c:pt idx="603">
                    <c:v>قیمت</c:v>
                  </c:pt>
                  <c:pt idx="604">
                    <c:v> 600,000 </c:v>
                  </c:pt>
                  <c:pt idx="605">
                    <c:v> 48,000 </c:v>
                  </c:pt>
                  <c:pt idx="606">
                    <c:v> 40,000 </c:v>
                  </c:pt>
                  <c:pt idx="607">
                    <c:v> 688,000 </c:v>
                  </c:pt>
                  <c:pt idx="608">
                    <c:v>قیمت</c:v>
                  </c:pt>
                  <c:pt idx="609">
                    <c:v> 288,000 </c:v>
                  </c:pt>
                  <c:pt idx="610">
                    <c:v> 10,000 </c:v>
                  </c:pt>
                  <c:pt idx="611">
                    <c:v> 298,000 </c:v>
                  </c:pt>
                  <c:pt idx="612">
                    <c:v>قیمت</c:v>
                  </c:pt>
                  <c:pt idx="613">
                    <c:v> 144,000 </c:v>
                  </c:pt>
                  <c:pt idx="614">
                    <c:v> 10,000 </c:v>
                  </c:pt>
                  <c:pt idx="615">
                    <c:v> 154,000 </c:v>
                  </c:pt>
                  <c:pt idx="616">
                    <c:v>قیمت</c:v>
                  </c:pt>
                  <c:pt idx="617">
                    <c:v> 144,000 </c:v>
                  </c:pt>
                  <c:pt idx="618">
                    <c:v> 10,000 </c:v>
                  </c:pt>
                  <c:pt idx="619">
                    <c:v> 154,000 </c:v>
                  </c:pt>
                  <c:pt idx="620">
                    <c:v>قیمت</c:v>
                  </c:pt>
                  <c:pt idx="621">
                    <c:v> 1,000,000 </c:v>
                  </c:pt>
                  <c:pt idx="622">
                    <c:v> 75,000 </c:v>
                  </c:pt>
                  <c:pt idx="623">
                    <c:v> 160,000 </c:v>
                  </c:pt>
                  <c:pt idx="624">
                    <c:v> 40,000 </c:v>
                  </c:pt>
                  <c:pt idx="625">
                    <c:v> 1,275,000 </c:v>
                  </c:pt>
                  <c:pt idx="626">
                    <c:v>قیمت</c:v>
                  </c:pt>
                  <c:pt idx="627">
                    <c:v> 1,800,000 </c:v>
                  </c:pt>
                  <c:pt idx="628">
                    <c:v> 126,000 </c:v>
                  </c:pt>
                  <c:pt idx="629">
                    <c:v> 1,250,000 </c:v>
                  </c:pt>
                  <c:pt idx="630">
                    <c:v> 720,000 </c:v>
                  </c:pt>
                  <c:pt idx="631">
                    <c:v> 1,000,000 </c:v>
                  </c:pt>
                  <c:pt idx="632">
                    <c:v> 4,896,000 </c:v>
                  </c:pt>
                  <c:pt idx="633">
                    <c:v>قیمت</c:v>
                  </c:pt>
                  <c:pt idx="634">
                    <c:v> 400,000 </c:v>
                  </c:pt>
                  <c:pt idx="635">
                    <c:v> 32,000 </c:v>
                  </c:pt>
                  <c:pt idx="636">
                    <c:v> 40,000 </c:v>
                  </c:pt>
                  <c:pt idx="637">
                    <c:v> 472,000 </c:v>
                  </c:pt>
                  <c:pt idx="638">
                    <c:v>قیمت</c:v>
                  </c:pt>
                  <c:pt idx="639">
                    <c:v> 600,000 </c:v>
                  </c:pt>
                  <c:pt idx="640">
                    <c:v> 48,000 </c:v>
                  </c:pt>
                  <c:pt idx="641">
                    <c:v> 40,000 </c:v>
                  </c:pt>
                  <c:pt idx="642">
                    <c:v> 688,000 </c:v>
                  </c:pt>
                  <c:pt idx="643">
                    <c:v>قیمت</c:v>
                  </c:pt>
                  <c:pt idx="644">
                    <c:v> 1,200,000 </c:v>
                  </c:pt>
                  <c:pt idx="645">
                    <c:v> 817,000 </c:v>
                  </c:pt>
                  <c:pt idx="646">
                    <c:v> 2,017,000 </c:v>
                  </c:pt>
                  <c:pt idx="647">
                    <c:v> 13,770,000 </c:v>
                  </c:pt>
                  <c:pt idx="649">
                    <c:v>بودجه </c:v>
                  </c:pt>
                  <c:pt idx="651">
                    <c:v> 10,000 </c:v>
                  </c:pt>
                  <c:pt idx="652">
                    <c:v> 60,000 </c:v>
                  </c:pt>
                  <c:pt idx="655">
                    <c:v> 150,000 </c:v>
                  </c:pt>
                  <c:pt idx="656">
                    <c:v> 60,000 </c:v>
                  </c:pt>
                  <c:pt idx="658">
                    <c:v> 160,000 </c:v>
                  </c:pt>
                  <c:pt idx="659">
                    <c:v> 80,000 </c:v>
                  </c:pt>
                  <c:pt idx="660">
                    <c:v> 60,000 </c:v>
                  </c:pt>
                  <c:pt idx="661">
                    <c:v> 3,600 </c:v>
                  </c:pt>
                  <c:pt idx="662">
                    <c:v> 10,000 </c:v>
                  </c:pt>
                  <c:pt idx="663">
                    <c:v> 18,569 </c:v>
                  </c:pt>
                  <c:pt idx="664">
                    <c:v> 612,169 </c:v>
                  </c:pt>
                  <c:pt idx="665">
                    <c:v>قیمت</c:v>
                  </c:pt>
                  <c:pt idx="667">
                    <c:v> 108,000 </c:v>
                  </c:pt>
                  <c:pt idx="668">
                    <c:v> 96,000 </c:v>
                  </c:pt>
                  <c:pt idx="670">
                    <c:v> 60,800 </c:v>
                  </c:pt>
                  <c:pt idx="671">
                    <c:v> 101,333 </c:v>
                  </c:pt>
                  <c:pt idx="672">
                    <c:v> 264,000 </c:v>
                  </c:pt>
                  <c:pt idx="673">
                    <c:v> 100,000 </c:v>
                  </c:pt>
                  <c:pt idx="674">
                    <c:v> 330,000 </c:v>
                  </c:pt>
                  <c:pt idx="675">
                    <c:v> 330,000 </c:v>
                  </c:pt>
                  <c:pt idx="676">
                    <c:v> 264,000 </c:v>
                  </c:pt>
                  <c:pt idx="677">
                    <c:v> 528,000 </c:v>
                  </c:pt>
                  <c:pt idx="678">
                    <c:v> 160,000 </c:v>
                  </c:pt>
                  <c:pt idx="679">
                    <c:v> 7,500 </c:v>
                  </c:pt>
                  <c:pt idx="680">
                    <c:v> 2,000 </c:v>
                  </c:pt>
                  <c:pt idx="681">
                    <c:v> 16,000 </c:v>
                  </c:pt>
                  <c:pt idx="682">
                    <c:v> 80,000 </c:v>
                  </c:pt>
                  <c:pt idx="683">
                    <c:v> 72,000 </c:v>
                  </c:pt>
                  <c:pt idx="685">
                    <c:v> 160,000 </c:v>
                  </c:pt>
                  <c:pt idx="686">
                    <c:v> 80,000 </c:v>
                  </c:pt>
                  <c:pt idx="687">
                    <c:v> 60,000 </c:v>
                  </c:pt>
                  <c:pt idx="688">
                    <c:v> 3,600 </c:v>
                  </c:pt>
                  <c:pt idx="689">
                    <c:v> 10,000 </c:v>
                  </c:pt>
                  <c:pt idx="690">
                    <c:v> 10,000 </c:v>
                  </c:pt>
                  <c:pt idx="691">
                    <c:v> 18,569 </c:v>
                  </c:pt>
                  <c:pt idx="692">
                    <c:v> 2,861,802 </c:v>
                  </c:pt>
                  <c:pt idx="693">
                    <c:v>قیمت</c:v>
                  </c:pt>
                  <c:pt idx="694">
                    <c:v> 10,000 </c:v>
                  </c:pt>
                  <c:pt idx="695">
                    <c:v> 60,000 </c:v>
                  </c:pt>
                  <c:pt idx="698">
                    <c:v> 100,000 </c:v>
                  </c:pt>
                  <c:pt idx="699">
                    <c:v> 100,000 </c:v>
                  </c:pt>
                  <c:pt idx="701">
                    <c:v> 160,000 </c:v>
                  </c:pt>
                  <c:pt idx="702">
                    <c:v> 80,000 </c:v>
                  </c:pt>
                  <c:pt idx="703">
                    <c:v> 60,000 </c:v>
                  </c:pt>
                  <c:pt idx="704">
                    <c:v> 3,600 </c:v>
                  </c:pt>
                  <c:pt idx="705">
                    <c:v> 10,000 </c:v>
                  </c:pt>
                  <c:pt idx="706">
                    <c:v> 18,569 </c:v>
                  </c:pt>
                  <c:pt idx="707">
                    <c:v> 602,169 </c:v>
                  </c:pt>
                  <c:pt idx="708">
                    <c:v>قیمت</c:v>
                  </c:pt>
                  <c:pt idx="709">
                    <c:v> 96,000 </c:v>
                  </c:pt>
                  <c:pt idx="711">
                    <c:v> 48,000 </c:v>
                  </c:pt>
                  <c:pt idx="712">
                    <c:v> 80,000 </c:v>
                  </c:pt>
                  <c:pt idx="713">
                    <c:v> 200,000 </c:v>
                  </c:pt>
                  <c:pt idx="714">
                    <c:v> 100,000 </c:v>
                  </c:pt>
                  <c:pt idx="715">
                    <c:v> 250,000 </c:v>
                  </c:pt>
                  <c:pt idx="716">
                    <c:v> 250,000 </c:v>
                  </c:pt>
                  <c:pt idx="717">
                    <c:v> 200,000 </c:v>
                  </c:pt>
                  <c:pt idx="718">
                    <c:v> 400,000 </c:v>
                  </c:pt>
                  <c:pt idx="719">
                    <c:v> 160,000 </c:v>
                  </c:pt>
                  <c:pt idx="720">
                    <c:v> 7,500 </c:v>
                  </c:pt>
                  <c:pt idx="721">
                    <c:v> 2,000 </c:v>
                  </c:pt>
                  <c:pt idx="722">
                    <c:v> 16,000 </c:v>
                  </c:pt>
                  <c:pt idx="723">
                    <c:v> 80,000 </c:v>
                  </c:pt>
                  <c:pt idx="724">
                    <c:v> 72,000 </c:v>
                  </c:pt>
                  <c:pt idx="726">
                    <c:v> 160,000 </c:v>
                  </c:pt>
                  <c:pt idx="727">
                    <c:v> 80,000 </c:v>
                  </c:pt>
                  <c:pt idx="728">
                    <c:v> 80,000 </c:v>
                  </c:pt>
                  <c:pt idx="729">
                    <c:v> 15,000 </c:v>
                  </c:pt>
                  <c:pt idx="730">
                    <c:v> 3,600 </c:v>
                  </c:pt>
                  <c:pt idx="731">
                    <c:v> 20,000 </c:v>
                  </c:pt>
                  <c:pt idx="732">
                    <c:v> 8,000 </c:v>
                  </c:pt>
                  <c:pt idx="733">
                    <c:v> 10,000 </c:v>
                  </c:pt>
                  <c:pt idx="734">
                    <c:v> 18,569 </c:v>
                  </c:pt>
                  <c:pt idx="735">
                    <c:v> 2,356,669 </c:v>
                  </c:pt>
                  <c:pt idx="736">
                    <c:v>قیمت</c:v>
                  </c:pt>
                  <c:pt idx="737">
                    <c:v> 10,000 </c:v>
                  </c:pt>
                  <c:pt idx="738">
                    <c:v> 60,000 </c:v>
                  </c:pt>
                  <c:pt idx="741">
                    <c:v> 100,000 </c:v>
                  </c:pt>
                  <c:pt idx="742">
                    <c:v> 100,000 </c:v>
                  </c:pt>
                  <c:pt idx="744">
                    <c:v> 320,000 </c:v>
                  </c:pt>
                  <c:pt idx="745">
                    <c:v> 160,000 </c:v>
                  </c:pt>
                  <c:pt idx="746">
                    <c:v> 120,000 </c:v>
                  </c:pt>
                  <c:pt idx="747">
                    <c:v> 7,200 </c:v>
                  </c:pt>
                  <c:pt idx="748">
                    <c:v> 20,000 </c:v>
                  </c:pt>
                  <c:pt idx="749">
                    <c:v> 18,569 </c:v>
                  </c:pt>
                  <c:pt idx="750">
                    <c:v> 915,769 </c:v>
                  </c:pt>
                  <c:pt idx="751">
                    <c:v>قیمت</c:v>
                  </c:pt>
                  <c:pt idx="753">
                    <c:v> 108,000 </c:v>
                  </c:pt>
                  <c:pt idx="754">
                    <c:v> 96,000 </c:v>
                  </c:pt>
                  <c:pt idx="755">
                    <c:v> 160,000 </c:v>
                  </c:pt>
                  <c:pt idx="756">
                    <c:v> 72,000 </c:v>
                  </c:pt>
                  <c:pt idx="757">
                    <c:v> 18,569 </c:v>
                  </c:pt>
                  <c:pt idx="758">
                    <c:v> 454,569 </c:v>
                  </c:pt>
                  <c:pt idx="759">
                    <c:v>قیمت</c:v>
                  </c:pt>
                  <c:pt idx="761">
                    <c:v> 96,000 </c:v>
                  </c:pt>
                  <c:pt idx="762">
                    <c:v> 72,000 </c:v>
                  </c:pt>
                  <c:pt idx="763">
                    <c:v> 160,000 </c:v>
                  </c:pt>
                  <c:pt idx="764">
                    <c:v> 18,569 </c:v>
                  </c:pt>
                  <c:pt idx="765">
                    <c:v> 346,569 </c:v>
                  </c:pt>
                  <c:pt idx="766">
                    <c:v>قیمت</c:v>
                  </c:pt>
                  <c:pt idx="767">
                    <c:v> 108,000 </c:v>
                  </c:pt>
                  <c:pt idx="768">
                    <c:v> 96,000 </c:v>
                  </c:pt>
                  <c:pt idx="769">
                    <c:v> 10,000 </c:v>
                  </c:pt>
                  <c:pt idx="770">
                    <c:v> 60,000 </c:v>
                  </c:pt>
                  <c:pt idx="772">
                    <c:v> 48,000 </c:v>
                  </c:pt>
                  <c:pt idx="773">
                    <c:v> 80,000 </c:v>
                  </c:pt>
                  <c:pt idx="774">
                    <c:v> 200,000 </c:v>
                  </c:pt>
                  <c:pt idx="775">
                    <c:v> 100,000 </c:v>
                  </c:pt>
                  <c:pt idx="776">
                    <c:v> 250,000 </c:v>
                  </c:pt>
                  <c:pt idx="777">
                    <c:v> 250,000 </c:v>
                  </c:pt>
                  <c:pt idx="778">
                    <c:v> 200,000 </c:v>
                  </c:pt>
                  <c:pt idx="779">
                    <c:v> 400,000 </c:v>
                  </c:pt>
                  <c:pt idx="780">
                    <c:v> 160,000 </c:v>
                  </c:pt>
                  <c:pt idx="781">
                    <c:v> 7,500 </c:v>
                  </c:pt>
                  <c:pt idx="782">
                    <c:v> 2,000 </c:v>
                  </c:pt>
                  <c:pt idx="783">
                    <c:v> 16,000 </c:v>
                  </c:pt>
                  <c:pt idx="784">
                    <c:v> 80,000 </c:v>
                  </c:pt>
                  <c:pt idx="785">
                    <c:v> 72,000 </c:v>
                  </c:pt>
                  <c:pt idx="786">
                    <c:v> -   </c:v>
                  </c:pt>
                  <c:pt idx="787">
                    <c:v> 160,000 </c:v>
                  </c:pt>
                  <c:pt idx="788">
                    <c:v> 10,000 </c:v>
                  </c:pt>
                  <c:pt idx="789">
                    <c:v> 80,000 </c:v>
                  </c:pt>
                  <c:pt idx="790">
                    <c:v> 60,000 </c:v>
                  </c:pt>
                  <c:pt idx="791">
                    <c:v> 3,600 </c:v>
                  </c:pt>
                  <c:pt idx="792">
                    <c:v> 10,000 </c:v>
                  </c:pt>
                  <c:pt idx="793">
                    <c:v> 18,569 </c:v>
                  </c:pt>
                  <c:pt idx="794">
                    <c:v> 2,481,669 </c:v>
                  </c:pt>
                  <c:pt idx="795">
                    <c:v>قیمت</c:v>
                  </c:pt>
                  <c:pt idx="796">
                    <c:v> 96,000 </c:v>
                  </c:pt>
                  <c:pt idx="799">
                    <c:v> 48,000 </c:v>
                  </c:pt>
                  <c:pt idx="800">
                    <c:v> 80,000 </c:v>
                  </c:pt>
                  <c:pt idx="801">
                    <c:v> 200,000 </c:v>
                  </c:pt>
                  <c:pt idx="802">
                    <c:v> 100,000 </c:v>
                  </c:pt>
                  <c:pt idx="803">
                    <c:v> 250,000 </c:v>
                  </c:pt>
                  <c:pt idx="804">
                    <c:v> 250,000 </c:v>
                  </c:pt>
                  <c:pt idx="805">
                    <c:v> 200,000 </c:v>
                  </c:pt>
                  <c:pt idx="806">
                    <c:v> 400,000 </c:v>
                  </c:pt>
                  <c:pt idx="807">
                    <c:v> 160,000 </c:v>
                  </c:pt>
                  <c:pt idx="808">
                    <c:v> 7,500 </c:v>
                  </c:pt>
                  <c:pt idx="809">
                    <c:v> 2,000 </c:v>
                  </c:pt>
                  <c:pt idx="810">
                    <c:v> 16,000 </c:v>
                  </c:pt>
                  <c:pt idx="811">
                    <c:v> 80,000 </c:v>
                  </c:pt>
                  <c:pt idx="812">
                    <c:v> 72,000 </c:v>
                  </c:pt>
                  <c:pt idx="813">
                    <c:v> 10,000 </c:v>
                  </c:pt>
                  <c:pt idx="814">
                    <c:v> 18,569 </c:v>
                  </c:pt>
                  <c:pt idx="815">
                    <c:v> 1,990,069 </c:v>
                  </c:pt>
                  <c:pt idx="816">
                    <c:v>قیمت</c:v>
                  </c:pt>
                  <c:pt idx="817">
                    <c:v> 10,000 </c:v>
                  </c:pt>
                  <c:pt idx="818">
                    <c:v> 60,000 </c:v>
                  </c:pt>
                  <c:pt idx="820">
                    <c:v> 250,000 </c:v>
                  </c:pt>
                  <c:pt idx="821">
                    <c:v> 100,000 </c:v>
                  </c:pt>
                  <c:pt idx="822">
                    <c:v> 18,569 </c:v>
                  </c:pt>
                  <c:pt idx="823">
                    <c:v> 438,569 </c:v>
                  </c:pt>
                  <c:pt idx="824">
                    <c:v>قیمت</c:v>
                  </c:pt>
                  <c:pt idx="825">
                    <c:v> 10,000 </c:v>
                  </c:pt>
                  <c:pt idx="826">
                    <c:v> 60,000 </c:v>
                  </c:pt>
                  <c:pt idx="828">
                    <c:v> 250,000 </c:v>
                  </c:pt>
                  <c:pt idx="829">
                    <c:v> 100,000 </c:v>
                  </c:pt>
                  <c:pt idx="830">
                    <c:v> 18,569 </c:v>
                  </c:pt>
                  <c:pt idx="831">
                    <c:v> 438,569 </c:v>
                  </c:pt>
                  <c:pt idx="832">
                    <c:v>قیمت</c:v>
                  </c:pt>
                  <c:pt idx="833">
                    <c:v> 10,000 </c:v>
                  </c:pt>
                  <c:pt idx="834">
                    <c:v> 60,000 </c:v>
                  </c:pt>
                  <c:pt idx="836">
                    <c:v> 250,000 </c:v>
                  </c:pt>
                  <c:pt idx="837">
                    <c:v> 100,000 </c:v>
                  </c:pt>
                  <c:pt idx="838">
                    <c:v> 18,569 </c:v>
                  </c:pt>
                  <c:pt idx="839">
                    <c:v> 438,569 </c:v>
                  </c:pt>
                  <c:pt idx="840">
                    <c:v>قیمت</c:v>
                  </c:pt>
                  <c:pt idx="841">
                    <c:v> 10,000 </c:v>
                  </c:pt>
                  <c:pt idx="842">
                    <c:v> 60,000 </c:v>
                  </c:pt>
                  <c:pt idx="844">
                    <c:v> 100,000 </c:v>
                  </c:pt>
                  <c:pt idx="845">
                    <c:v> 100,000 </c:v>
                  </c:pt>
                  <c:pt idx="846">
                    <c:v> 18,569 </c:v>
                  </c:pt>
                  <c:pt idx="847">
                    <c:v> 288,569 </c:v>
                  </c:pt>
                  <c:pt idx="848">
                    <c:v>قیمت</c:v>
                  </c:pt>
                  <c:pt idx="849">
                    <c:v> 10,000 </c:v>
                  </c:pt>
                  <c:pt idx="850">
                    <c:v> 60,000 </c:v>
                  </c:pt>
                  <c:pt idx="852">
                    <c:v> 100,000 </c:v>
                  </c:pt>
                  <c:pt idx="853">
                    <c:v> 100,000 </c:v>
                  </c:pt>
                  <c:pt idx="855">
                    <c:v> 320,000 </c:v>
                  </c:pt>
                  <c:pt idx="856">
                    <c:v> 160,000 </c:v>
                  </c:pt>
                  <c:pt idx="857">
                    <c:v> 120,000 </c:v>
                  </c:pt>
                  <c:pt idx="858">
                    <c:v> 7,200 </c:v>
                  </c:pt>
                  <c:pt idx="859">
                    <c:v> 20,000 </c:v>
                  </c:pt>
                  <c:pt idx="860">
                    <c:v> 18,569 </c:v>
                  </c:pt>
                  <c:pt idx="861">
                    <c:v> 915,769 </c:v>
                  </c:pt>
                  <c:pt idx="862">
                    <c:v>قیمت</c:v>
                  </c:pt>
                  <c:pt idx="863">
                    <c:v> 10,000 </c:v>
                  </c:pt>
                  <c:pt idx="864">
                    <c:v> 60,000 </c:v>
                  </c:pt>
                  <c:pt idx="866">
                    <c:v> 250,000 </c:v>
                  </c:pt>
                  <c:pt idx="867">
                    <c:v> 100,000 </c:v>
                  </c:pt>
                  <c:pt idx="869">
                    <c:v> 160,000 </c:v>
                  </c:pt>
                  <c:pt idx="870">
                    <c:v> 80,000 </c:v>
                  </c:pt>
                  <c:pt idx="871">
                    <c:v> 60,000 </c:v>
                  </c:pt>
                  <c:pt idx="872">
                    <c:v> 7,200 </c:v>
                  </c:pt>
                  <c:pt idx="873">
                    <c:v> 10,000 </c:v>
                  </c:pt>
                  <c:pt idx="874">
                    <c:v> 18,569 </c:v>
                  </c:pt>
                  <c:pt idx="875">
                    <c:v> 755,769 </c:v>
                  </c:pt>
                  <c:pt idx="876">
                    <c:v> 914,221 </c:v>
                  </c:pt>
                  <c:pt idx="877">
                    <c:v> 997,332 </c:v>
                  </c:pt>
                  <c:pt idx="878">
                    <c:v> 1,911,553 </c:v>
                  </c:pt>
                  <c:pt idx="879">
                    <c:v> 17,808,821 </c:v>
                  </c:pt>
                  <c:pt idx="881">
                    <c:v>قیمت</c:v>
                  </c:pt>
                  <c:pt idx="882">
                    <c:v> 10,000 </c:v>
                  </c:pt>
                  <c:pt idx="883">
                    <c:v> 120,000 </c:v>
                  </c:pt>
                  <c:pt idx="884">
                    <c:v> 2,872 </c:v>
                  </c:pt>
                  <c:pt idx="885">
                    <c:v> 16,000 </c:v>
                  </c:pt>
                  <c:pt idx="886">
                    <c:v> 20,000 </c:v>
                  </c:pt>
                  <c:pt idx="887">
                    <c:v> 4,000 </c:v>
                  </c:pt>
                  <c:pt idx="888">
                    <c:v> 30,000 </c:v>
                  </c:pt>
                  <c:pt idx="889">
                    <c:v> 202,872 </c:v>
                  </c:pt>
                  <c:pt idx="890">
                    <c:v> 50,000 </c:v>
                  </c:pt>
                  <c:pt idx="891">
                    <c:v> 120,000 </c:v>
                  </c:pt>
                  <c:pt idx="892">
                    <c:v> 2,500 </c:v>
                  </c:pt>
                  <c:pt idx="893">
                    <c:v> 8,800 </c:v>
                  </c:pt>
                  <c:pt idx="894">
                    <c:v> 20,000 </c:v>
                  </c:pt>
                  <c:pt idx="895">
                    <c:v> 4,000 </c:v>
                  </c:pt>
                  <c:pt idx="896">
                    <c:v> 20,000 </c:v>
                  </c:pt>
                  <c:pt idx="897">
                    <c:v> 225,300 </c:v>
                  </c:pt>
                  <c:pt idx="898">
                    <c:v> 50,000 </c:v>
                  </c:pt>
                  <c:pt idx="899">
                    <c:v> 4,000 </c:v>
                  </c:pt>
                  <c:pt idx="900">
                    <c:v> 120,000 </c:v>
                  </c:pt>
                  <c:pt idx="901">
                    <c:v> 3,000 </c:v>
                  </c:pt>
                  <c:pt idx="902">
                    <c:v> 16,000 </c:v>
                  </c:pt>
                  <c:pt idx="903">
                    <c:v> 20,000 </c:v>
                  </c:pt>
                  <c:pt idx="904">
                    <c:v> 20,000 </c:v>
                  </c:pt>
                  <c:pt idx="905">
                    <c:v> 233,000 </c:v>
                  </c:pt>
                  <c:pt idx="906">
                    <c:v> 300,000 </c:v>
                  </c:pt>
                  <c:pt idx="907">
                    <c:v> 20,000 </c:v>
                  </c:pt>
                  <c:pt idx="908">
                    <c:v> 5,000 </c:v>
                  </c:pt>
                  <c:pt idx="909">
                    <c:v> 8,000 </c:v>
                  </c:pt>
                  <c:pt idx="910">
                    <c:v> 200,000 </c:v>
                  </c:pt>
                  <c:pt idx="911">
                    <c:v> 10,865,694 </c:v>
                  </c:pt>
                  <c:pt idx="912">
                    <c:v> 11,398,694 </c:v>
                  </c:pt>
                  <c:pt idx="913">
                    <c:v> 40,000 </c:v>
                  </c:pt>
                  <c:pt idx="914">
                    <c:v> 4,000 </c:v>
                  </c:pt>
                  <c:pt idx="915">
                    <c:v> 120,000 </c:v>
                  </c:pt>
                  <c:pt idx="916">
                    <c:v> 2,500 </c:v>
                  </c:pt>
                  <c:pt idx="917">
                    <c:v> 9,600 </c:v>
                  </c:pt>
                  <c:pt idx="918">
                    <c:v> 30,000 </c:v>
                  </c:pt>
                  <c:pt idx="919">
                    <c:v> 1,250,000 </c:v>
                  </c:pt>
                  <c:pt idx="920">
                    <c:v> 1,456,100 </c:v>
                  </c:pt>
                  <c:pt idx="921">
                    <c:v> 40,000 </c:v>
                  </c:pt>
                  <c:pt idx="922">
                    <c:v> 160,000 </c:v>
                  </c:pt>
                  <c:pt idx="923">
                    <c:v> 2,500 </c:v>
                  </c:pt>
                  <c:pt idx="924">
                    <c:v> 9,600 </c:v>
                  </c:pt>
                  <c:pt idx="925">
                    <c:v> 30,000 </c:v>
                  </c:pt>
                  <c:pt idx="926">
                    <c:v> 242,100 </c:v>
                  </c:pt>
                  <c:pt idx="927">
                    <c:v> 150,000 </c:v>
                  </c:pt>
                  <c:pt idx="928">
                    <c:v> 8,000 </c:v>
                  </c:pt>
                  <c:pt idx="929">
                    <c:v> 26,667 </c:v>
                  </c:pt>
                  <c:pt idx="930">
                    <c:v> 280,000 </c:v>
                  </c:pt>
                  <c:pt idx="931">
                    <c:v> 3,000 </c:v>
                  </c:pt>
                  <c:pt idx="932">
                    <c:v> 16,000 </c:v>
                  </c:pt>
                  <c:pt idx="933">
                    <c:v> 20,000 </c:v>
                  </c:pt>
                  <c:pt idx="934">
                    <c:v> 30,000 </c:v>
                  </c:pt>
                  <c:pt idx="935">
                    <c:v> 533,667 </c:v>
                  </c:pt>
                  <c:pt idx="936">
                    <c:v> 30,000 </c:v>
                  </c:pt>
                  <c:pt idx="937">
                    <c:v> 80,000 </c:v>
                  </c:pt>
                  <c:pt idx="938">
                    <c:v> 3,000 </c:v>
                  </c:pt>
                  <c:pt idx="939">
                    <c:v> 12,000 </c:v>
                  </c:pt>
                  <c:pt idx="940">
                    <c:v> 4,000 </c:v>
                  </c:pt>
                  <c:pt idx="941">
                    <c:v> 1,563,000 </c:v>
                  </c:pt>
                  <c:pt idx="942">
                    <c:v> 20,000 </c:v>
                  </c:pt>
                  <c:pt idx="943">
                    <c:v> 1,712,000 </c:v>
                  </c:pt>
                  <c:pt idx="944">
                    <c:v> 50,000 </c:v>
                  </c:pt>
                  <c:pt idx="945">
                    <c:v> 4,000 </c:v>
                  </c:pt>
                  <c:pt idx="946">
                    <c:v> 240,000 </c:v>
                  </c:pt>
                  <c:pt idx="947">
                    <c:v> 3,000 </c:v>
                  </c:pt>
                  <c:pt idx="948">
                    <c:v> 12,000 </c:v>
                  </c:pt>
                  <c:pt idx="949">
                    <c:v> 20,000 </c:v>
                  </c:pt>
                  <c:pt idx="950">
                    <c:v> 30,000 </c:v>
                  </c:pt>
                  <c:pt idx="951">
                    <c:v> 359,000 </c:v>
                  </c:pt>
                  <c:pt idx="952">
                    <c:v> 60,000 </c:v>
                  </c:pt>
                  <c:pt idx="953">
                    <c:v> 4,000 </c:v>
                  </c:pt>
                  <c:pt idx="954">
                    <c:v> 26,667 </c:v>
                  </c:pt>
                  <c:pt idx="955">
                    <c:v> 200,000 </c:v>
                  </c:pt>
                  <c:pt idx="956">
                    <c:v> 3,000 </c:v>
                  </c:pt>
                  <c:pt idx="957">
                    <c:v> 9,600 </c:v>
                  </c:pt>
                  <c:pt idx="958">
                    <c:v> 20,000 </c:v>
                  </c:pt>
                  <c:pt idx="959">
                    <c:v> 30,000 </c:v>
                  </c:pt>
                  <c:pt idx="960">
                    <c:v> 353,267 </c:v>
                  </c:pt>
                  <c:pt idx="961">
                    <c:v> 50,000 </c:v>
                  </c:pt>
                  <c:pt idx="962">
                    <c:v> 4,000 </c:v>
                  </c:pt>
                  <c:pt idx="963">
                    <c:v> 200,000 </c:v>
                  </c:pt>
                  <c:pt idx="964">
                    <c:v> 3,000 </c:v>
                  </c:pt>
                  <c:pt idx="965">
                    <c:v> 16,000 </c:v>
                  </c:pt>
                  <c:pt idx="966">
                    <c:v> 20,000 </c:v>
                  </c:pt>
                  <c:pt idx="967">
                    <c:v> 30,000 </c:v>
                  </c:pt>
                  <c:pt idx="968">
                    <c:v> 323,000 </c:v>
                  </c:pt>
                  <c:pt idx="969">
                    <c:v> 60,000 </c:v>
                  </c:pt>
                  <c:pt idx="970">
                    <c:v> 4,000 </c:v>
                  </c:pt>
                  <c:pt idx="971">
                    <c:v> 200,000 </c:v>
                  </c:pt>
                  <c:pt idx="972">
                    <c:v> 2,500 </c:v>
                  </c:pt>
                  <c:pt idx="973">
                    <c:v> 12,000 </c:v>
                  </c:pt>
                  <c:pt idx="974">
                    <c:v> 700,000 </c:v>
                  </c:pt>
                  <c:pt idx="975">
                    <c:v> 30,000 </c:v>
                  </c:pt>
                  <c:pt idx="976">
                    <c:v> 1,008,500 </c:v>
                  </c:pt>
                  <c:pt idx="977">
                    <c:v> 60,000 </c:v>
                  </c:pt>
                  <c:pt idx="978">
                    <c:v> 4,000 </c:v>
                  </c:pt>
                  <c:pt idx="979">
                    <c:v> 200,000 </c:v>
                  </c:pt>
                  <c:pt idx="980">
                    <c:v> 20,000 </c:v>
                  </c:pt>
                  <c:pt idx="981">
                    <c:v> 3,000 </c:v>
                  </c:pt>
                  <c:pt idx="982">
                    <c:v> 8,600 </c:v>
                  </c:pt>
                  <c:pt idx="983">
                    <c:v> 20,000 </c:v>
                  </c:pt>
                  <c:pt idx="984">
                    <c:v> 700,000 </c:v>
                  </c:pt>
                  <c:pt idx="985">
                    <c:v> 30,000 </c:v>
                  </c:pt>
                  <c:pt idx="986">
                    <c:v> 1,045,600 </c:v>
                  </c:pt>
                  <c:pt idx="987">
                    <c:v> 50,000 </c:v>
                  </c:pt>
                  <c:pt idx="988">
                    <c:v> 120,000 </c:v>
                  </c:pt>
                  <c:pt idx="989">
                    <c:v> 2,500 </c:v>
                  </c:pt>
                  <c:pt idx="990">
                    <c:v> 12,000 </c:v>
                  </c:pt>
                  <c:pt idx="991">
                    <c:v> 4,000 </c:v>
                  </c:pt>
                  <c:pt idx="992">
                    <c:v> 585,102 </c:v>
                  </c:pt>
                  <c:pt idx="993">
                    <c:v> 30,000 </c:v>
                  </c:pt>
                  <c:pt idx="994">
                    <c:v> 803,602 </c:v>
                  </c:pt>
                  <c:pt idx="995">
                    <c:v> 100,000 </c:v>
                  </c:pt>
                  <c:pt idx="996">
                    <c:v> 2,500 </c:v>
                  </c:pt>
                  <c:pt idx="997">
                    <c:v> 8,000 </c:v>
                  </c:pt>
                  <c:pt idx="998">
                    <c:v> 4,000 </c:v>
                  </c:pt>
                  <c:pt idx="999">
                    <c:v> 500,000 </c:v>
                  </c:pt>
                  <c:pt idx="1000">
                    <c:v> 20,000 </c:v>
                  </c:pt>
                  <c:pt idx="1001">
                    <c:v> 634,500 </c:v>
                  </c:pt>
                  <c:pt idx="1002">
                    <c:v> 150,000 </c:v>
                  </c:pt>
                  <c:pt idx="1003">
                    <c:v> 8,000 </c:v>
                  </c:pt>
                  <c:pt idx="1004">
                    <c:v> 53,333 </c:v>
                  </c:pt>
                  <c:pt idx="1005">
                    <c:v> 280,000 </c:v>
                  </c:pt>
                  <c:pt idx="1006">
                    <c:v> 3,000 </c:v>
                  </c:pt>
                  <c:pt idx="1007">
                    <c:v> 16,000 </c:v>
                  </c:pt>
                  <c:pt idx="1008">
                    <c:v> 30,000 </c:v>
                  </c:pt>
                  <c:pt idx="1009">
                    <c:v> 133,333 </c:v>
                  </c:pt>
                  <c:pt idx="1010">
                    <c:v> 66,667 </c:v>
                  </c:pt>
                  <c:pt idx="1011">
                    <c:v> 66,667 </c:v>
                  </c:pt>
                  <c:pt idx="1012">
                    <c:v> 14,000 </c:v>
                  </c:pt>
                  <c:pt idx="1013">
                    <c:v> 18,000 </c:v>
                  </c:pt>
                  <c:pt idx="1014">
                    <c:v> 17,500 </c:v>
                  </c:pt>
                  <c:pt idx="1015">
                    <c:v> 800,000 </c:v>
                  </c:pt>
                  <c:pt idx="1016">
                    <c:v> 101,500 </c:v>
                  </c:pt>
                  <c:pt idx="1017">
                    <c:v> 1,758,000 </c:v>
                  </c:pt>
                  <c:pt idx="1018">
                    <c:v> 40,000 </c:v>
                  </c:pt>
                  <c:pt idx="1019">
                    <c:v> 120,000 </c:v>
                  </c:pt>
                  <c:pt idx="1020">
                    <c:v> 2,500 </c:v>
                  </c:pt>
                  <c:pt idx="1021">
                    <c:v> 8,000 </c:v>
                  </c:pt>
                  <c:pt idx="1022">
                    <c:v> 20,000 </c:v>
                  </c:pt>
                  <c:pt idx="1023">
                    <c:v> 4,000 </c:v>
                  </c:pt>
                  <c:pt idx="1024">
                    <c:v> 20,000 </c:v>
                  </c:pt>
                  <c:pt idx="1025">
                    <c:v> 214,500 </c:v>
                  </c:pt>
                  <c:pt idx="1026">
                    <c:v> 40,000 </c:v>
                  </c:pt>
                  <c:pt idx="1027">
                    <c:v> 40,000 </c:v>
                  </c:pt>
                  <c:pt idx="1028">
                    <c:v> 200,000 </c:v>
                  </c:pt>
                  <c:pt idx="1029">
                    <c:v> 3,000 </c:v>
                  </c:pt>
                  <c:pt idx="1030">
                    <c:v> 12,000 </c:v>
                  </c:pt>
                  <c:pt idx="1031">
                    <c:v> 20,000 </c:v>
                  </c:pt>
                  <c:pt idx="1032">
                    <c:v> 4,000 </c:v>
                  </c:pt>
                  <c:pt idx="1033">
                    <c:v> 30,000 </c:v>
                  </c:pt>
                  <c:pt idx="1034">
                    <c:v> 349,000 </c:v>
                  </c:pt>
                  <c:pt idx="1035">
                    <c:v> 80,000 </c:v>
                  </c:pt>
                  <c:pt idx="1036">
                    <c:v> 8,000 </c:v>
                  </c:pt>
                  <c:pt idx="1037">
                    <c:v> 240,000 </c:v>
                  </c:pt>
                  <c:pt idx="1038">
                    <c:v> 3,500 </c:v>
                  </c:pt>
                  <c:pt idx="1039">
                    <c:v> 12,000 </c:v>
                  </c:pt>
                  <c:pt idx="1040">
                    <c:v> 60,000 </c:v>
                  </c:pt>
                  <c:pt idx="1041">
                    <c:v> 30,000 </c:v>
                  </c:pt>
                  <c:pt idx="1042">
                    <c:v> 433,500 </c:v>
                  </c:pt>
                  <c:pt idx="1043">
                    <c:v> 60,000 </c:v>
                  </c:pt>
                  <c:pt idx="1044">
                    <c:v> 4,000 </c:v>
                  </c:pt>
                  <c:pt idx="1045">
                    <c:v> 26,667 </c:v>
                  </c:pt>
                  <c:pt idx="1046">
                    <c:v> 240,000 </c:v>
                  </c:pt>
                  <c:pt idx="1047">
                    <c:v> 3,000 </c:v>
                  </c:pt>
                  <c:pt idx="1048">
                    <c:v> 12,000 </c:v>
                  </c:pt>
                  <c:pt idx="1049">
                    <c:v> 20,000 </c:v>
                  </c:pt>
                  <c:pt idx="1050">
                    <c:v> 30,000 </c:v>
                  </c:pt>
                  <c:pt idx="1051">
                    <c:v> 395,667 </c:v>
                  </c:pt>
                  <c:pt idx="1052">
                    <c:v> 60,000 </c:v>
                  </c:pt>
                  <c:pt idx="1053">
                    <c:v> 200,000 </c:v>
                  </c:pt>
                  <c:pt idx="1054">
                    <c:v> 3,500 </c:v>
                  </c:pt>
                  <c:pt idx="1055">
                    <c:v> 12,000 </c:v>
                  </c:pt>
                  <c:pt idx="1056">
                    <c:v> 20,000 </c:v>
                  </c:pt>
                  <c:pt idx="1057">
                    <c:v> 4,000 </c:v>
                  </c:pt>
                  <c:pt idx="1058">
                    <c:v> 30,000 </c:v>
                  </c:pt>
                  <c:pt idx="1059">
                    <c:v> 329,500 </c:v>
                  </c:pt>
                  <c:pt idx="1060">
                    <c:v> 100,000 </c:v>
                  </c:pt>
                  <c:pt idx="1061">
                    <c:v> 240,000 </c:v>
                  </c:pt>
                  <c:pt idx="1062">
                    <c:v> 3,000 </c:v>
                  </c:pt>
                  <c:pt idx="1063">
                    <c:v> 12,000 </c:v>
                  </c:pt>
                  <c:pt idx="1064">
                    <c:v> 24,000 </c:v>
                  </c:pt>
                  <c:pt idx="1065">
                    <c:v> 8,000 </c:v>
                  </c:pt>
                  <c:pt idx="1066">
                    <c:v> 30,000 </c:v>
                  </c:pt>
                  <c:pt idx="1067">
                    <c:v> 417,000 </c:v>
                  </c:pt>
                  <c:pt idx="1068">
                    <c:v> 80,000 </c:v>
                  </c:pt>
                  <c:pt idx="1069">
                    <c:v> 240,000 </c:v>
                  </c:pt>
                  <c:pt idx="1070">
                    <c:v> 3,000 </c:v>
                  </c:pt>
                  <c:pt idx="1071">
                    <c:v> 12,000 </c:v>
                  </c:pt>
                  <c:pt idx="1072">
                    <c:v> 20,000 </c:v>
                  </c:pt>
                  <c:pt idx="1073">
                    <c:v> 4,000 </c:v>
                  </c:pt>
                  <c:pt idx="1074">
                    <c:v> 30,000 </c:v>
                  </c:pt>
                  <c:pt idx="1075">
                    <c:v> 389,000 </c:v>
                  </c:pt>
                  <c:pt idx="1076">
                    <c:v> 150,000 </c:v>
                  </c:pt>
                  <c:pt idx="1077">
                    <c:v> 200,000 </c:v>
                  </c:pt>
                  <c:pt idx="1078">
                    <c:v> 3,000 </c:v>
                  </c:pt>
                  <c:pt idx="1079">
                    <c:v> 12,000 </c:v>
                  </c:pt>
                  <c:pt idx="1080">
                    <c:v> 20,000 </c:v>
                  </c:pt>
                  <c:pt idx="1081">
                    <c:v> 8,000 </c:v>
                  </c:pt>
                  <c:pt idx="1082">
                    <c:v> 30,000 </c:v>
                  </c:pt>
                  <c:pt idx="1083">
                    <c:v> 423,000 </c:v>
                  </c:pt>
                  <c:pt idx="1084">
                    <c:v> 140,000 </c:v>
                  </c:pt>
                  <c:pt idx="1085">
                    <c:v> 8,000 </c:v>
                  </c:pt>
                  <c:pt idx="1086">
                    <c:v> 240,000 </c:v>
                  </c:pt>
                  <c:pt idx="1087">
                    <c:v> 3,000 </c:v>
                  </c:pt>
                  <c:pt idx="1088">
                    <c:v> 12,000 </c:v>
                  </c:pt>
                  <c:pt idx="1089">
                    <c:v> 40,000 </c:v>
                  </c:pt>
                  <c:pt idx="1090">
                    <c:v> 30,000 </c:v>
                  </c:pt>
                  <c:pt idx="1091">
                    <c:v> 473,000 </c:v>
                  </c:pt>
                  <c:pt idx="1092">
                    <c:v> 40,000 </c:v>
                  </c:pt>
                  <c:pt idx="1093">
                    <c:v> 80,000 </c:v>
                  </c:pt>
                  <c:pt idx="1094">
                    <c:v> 4,000 </c:v>
                  </c:pt>
                  <c:pt idx="1095">
                    <c:v> 3,000 </c:v>
                  </c:pt>
                  <c:pt idx="1096">
                    <c:v> 8,000 </c:v>
                  </c:pt>
                  <c:pt idx="1097">
                    <c:v> 30,000 </c:v>
                  </c:pt>
                  <c:pt idx="1098">
                    <c:v> 165,000 </c:v>
                  </c:pt>
                  <c:pt idx="1099">
                    <c:v> 80,000 </c:v>
                  </c:pt>
                  <c:pt idx="1100">
                    <c:v> 4,000 </c:v>
                  </c:pt>
                  <c:pt idx="1101">
                    <c:v> 240,000 </c:v>
                  </c:pt>
                  <c:pt idx="1102">
                    <c:v> 3,000 </c:v>
                  </c:pt>
                  <c:pt idx="1103">
                    <c:v> 9,600 </c:v>
                  </c:pt>
                  <c:pt idx="1104">
                    <c:v> 20,000 </c:v>
                  </c:pt>
                  <c:pt idx="1105">
                    <c:v> 30,000 </c:v>
                  </c:pt>
                  <c:pt idx="1106">
                    <c:v> 386,600 </c:v>
                  </c:pt>
                  <c:pt idx="1107">
                    <c:v> 70,000 </c:v>
                  </c:pt>
                  <c:pt idx="1108">
                    <c:v> 4,000 </c:v>
                  </c:pt>
                  <c:pt idx="1109">
                    <c:v> 200,000 </c:v>
                  </c:pt>
                  <c:pt idx="1110">
                    <c:v> 3,400 </c:v>
                  </c:pt>
                  <c:pt idx="1111">
                    <c:v> 9,600 </c:v>
                  </c:pt>
                  <c:pt idx="1112">
                    <c:v> 20,000 </c:v>
                  </c:pt>
                  <c:pt idx="1113">
                    <c:v> 30,000 </c:v>
                  </c:pt>
                  <c:pt idx="1114">
                    <c:v> 337,000 </c:v>
                  </c:pt>
                  <c:pt idx="1115">
                    <c:v> 26,601,968 </c:v>
                  </c:pt>
                  <c:pt idx="1117">
                    <c:v>ارزش مجموعی</c:v>
                  </c:pt>
                  <c:pt idx="1118">
                    <c:v> 288,000 </c:v>
                  </c:pt>
                  <c:pt idx="1119">
                    <c:v> 720,000 </c:v>
                  </c:pt>
                  <c:pt idx="1120">
                    <c:v> 2,500,000 </c:v>
                  </c:pt>
                  <c:pt idx="1121">
                    <c:v> 2,147,680 </c:v>
                  </c:pt>
                  <c:pt idx="1122">
                    <c:v> 5,655,680 </c:v>
                  </c:pt>
                  <c:pt idx="1123">
                    <c:v>ارزش مجموعی</c:v>
                  </c:pt>
                  <c:pt idx="1124">
                    <c:v> 108,000 </c:v>
                  </c:pt>
                  <c:pt idx="1125">
                    <c:v> 1,080,000 </c:v>
                  </c:pt>
                  <c:pt idx="1126">
                    <c:v> 1,188,000 </c:v>
                  </c:pt>
                  <c:pt idx="1127">
                    <c:v>قیمت</c:v>
                  </c:pt>
                  <c:pt idx="1128">
                    <c:v> 984,420 </c:v>
                  </c:pt>
                  <c:pt idx="1129">
                    <c:v> 984,420 </c:v>
                  </c:pt>
                  <c:pt idx="1130">
                    <c:v> 7,828,100 </c:v>
                  </c:pt>
                  <c:pt idx="1132">
                    <c:v> 1,248,000 </c:v>
                  </c:pt>
                  <c:pt idx="1133">
                    <c:v> 1,083,110 </c:v>
                  </c:pt>
                  <c:pt idx="1134">
                    <c:v> 2,331,110 </c:v>
                  </c:pt>
                  <c:pt idx="1136">
                    <c:v>تاریخ آغاز</c:v>
                  </c:pt>
                  <c:pt idx="1137">
                    <c:v>1/10/1396</c:v>
                  </c:pt>
                  <c:pt idx="1138">
                    <c:v>1/10/1396</c:v>
                  </c:pt>
                  <c:pt idx="1139">
                    <c:v>1/10/1396</c:v>
                  </c:pt>
                  <c:pt idx="1140">
                    <c:v>1/10/1396</c:v>
                  </c:pt>
                  <c:pt idx="1141">
                    <c:v>1/10/1396</c:v>
                  </c:pt>
                  <c:pt idx="1142">
                    <c:v>1/10/1397</c:v>
                  </c:pt>
                </c:lvl>
                <c:lvl>
                  <c:pt idx="2">
                    <c:v>محصول</c:v>
                  </c:pt>
                  <c:pt idx="4">
                    <c:v>احیای 40 هکتار جنگلات پسته با بذر للمی و قروغ نمودن به کمک 8 پروژه عایداتی </c:v>
                  </c:pt>
                  <c:pt idx="5">
                    <c:v>خریداری تخم پسته برای بذر للمی </c:v>
                  </c:pt>
                  <c:pt idx="6">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8">
                    <c:v>محصول</c:v>
                  </c:pt>
                  <c:pt idx="9">
                    <c:v>احیای 50 هکتار جنگلات پسته با بذر للمی و قروغ نمودن به کمک 26 پروژه عایداتی.</c:v>
                  </c:pt>
                  <c:pt idx="10">
                    <c:v>خریداری تخم پسته برای بذر للمی </c:v>
                  </c:pt>
                  <c:pt idx="11">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13">
                    <c:v>محصول</c:v>
                  </c:pt>
                  <c:pt idx="14">
                    <c:v>احیای 20 هکتار جنگلات پسته با بذر للمی و قروغ نمودن به کمک 4 پروژه عایداتی.</c:v>
                  </c:pt>
                  <c:pt idx="15">
                    <c:v>خریداری تخم پسته برای بذر للمی </c:v>
                  </c:pt>
                  <c:pt idx="16">
                    <c:v>تنظیم ابریزه با اعمار 200متر مکعب چکدم و ابگردان از سنگ و مواد محلی در یکی ساحاتیکه تحت خطر سیلاب شدید قرار دارد یا ساحه که احیا میگردد. </c:v>
                  </c:pt>
                  <c:pt idx="1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19">
                    <c:v>محصول</c:v>
                  </c:pt>
                  <c:pt idx="20">
                    <c:v>احیای 20 هکتار جنگلات پسته با بذر للمی و قروغ نمودن به کمک 4 پروژه عایداتی.</c:v>
                  </c:pt>
                  <c:pt idx="21">
                    <c:v>تهیه و خریداری تخم پسته برای بذر </c:v>
                  </c:pt>
                  <c:pt idx="2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24">
                    <c:v>محصول</c:v>
                  </c:pt>
                  <c:pt idx="25">
                    <c:v>احیای 30 هکتار جنگلات پسته با بذر للمی و قروغ نمودن به کمک6 پروژه عایداتی.</c:v>
                  </c:pt>
                  <c:pt idx="26">
                    <c:v>تهیه و خریداری تخم پسته برای بذر </c:v>
                  </c:pt>
                  <c:pt idx="2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29">
                    <c:v>محصول</c:v>
                  </c:pt>
                  <c:pt idx="30">
                    <c:v>استخدام 2 نفر محافظ غرض حفاظت 10000 خریطه پلاستیکی از سال 1395</c:v>
                  </c:pt>
                  <c:pt idx="31">
                    <c:v>جالی با ملحفات آن برای تهیه سایه بان برای نوجست های جلغوزه </c:v>
                  </c:pt>
                  <c:pt idx="33">
                    <c:v>محصول</c:v>
                  </c:pt>
                  <c:pt idx="34">
                    <c:v>استخدام 1 نفر محافظ غرض حفاظت 10000 خریطه پلاستیکی از سال 1395</c:v>
                  </c:pt>
                  <c:pt idx="35">
                    <c:v>جالی با ملحفات آن برای تهیه سایه بان برای نوجست های جلغوزه </c:v>
                  </c:pt>
                  <c:pt idx="37">
                    <c:v>محصول</c:v>
                  </c:pt>
                  <c:pt idx="38">
                    <c:v>استخدام 1 نفر محافظ غرض حفاظت 10000 خریطه پلاستیکی از سال 1395</c:v>
                  </c:pt>
                  <c:pt idx="39">
                    <c:v>جالی با ملحفات آن برای تهیه سایه بان برای نوجست های جلغوزه </c:v>
                  </c:pt>
                  <c:pt idx="41">
                    <c:v>محصول</c:v>
                  </c:pt>
                  <c:pt idx="42">
                    <c:v>احیای و حفاظت 50 هکتار جلغوزه با بذر للمی به کمک 10 پروژه عایداتی.</c:v>
                  </c:pt>
                  <c:pt idx="43">
                    <c:v>خریداری تخم جلغوزه برای بذر مستقیم </c:v>
                  </c:pt>
                  <c:pt idx="44">
                    <c:v>تنظیم ابریزه ها با اعمار 200چکدم با مواد محلی در جای که خطر سیلاب متصور است.</c:v>
                  </c:pt>
                  <c:pt idx="45">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47">
                    <c:v>محصول</c:v>
                  </c:pt>
                  <c:pt idx="48">
                    <c:v>بذر للم و حفاظت ساحه 90 هکتار جنگلات طبیعی تخریب شده لمنز، نشتر، به کمک پروژه های عایداتی ( هر پروژه عایداتی برای 5 هکتار ساحه تخریب شده جدید و یک نفر محافظ) </c:v>
                  </c:pt>
                  <c:pt idx="49">
                    <c:v>خریداری تخم نشتر، لمنز، بلوط و اغور اسکی برای بذر للمی.</c:v>
                  </c:pt>
                  <c:pt idx="50">
                    <c:v>خریداری تخم چارمغز با کیفیت که قابلیت جوانه زدن را داشته باشد.</c:v>
                  </c:pt>
                  <c:pt idx="51">
                    <c:v>اعمار چکدم غرض حفاظت آب و خاک </c:v>
                  </c:pt>
                  <c:pt idx="5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54">
                    <c:v>محصول</c:v>
                  </c:pt>
                  <c:pt idx="55">
                    <c:v>احیای 20 هکتار بذر للمی بادام کوهی به کمک 4 پروژه عایداتی ( هر پروژه عایداتی برای یک نفر کارگر محافظ و 5 هکتار) </c:v>
                  </c:pt>
                  <c:pt idx="56">
                    <c:v>تهیه و خریداری تخم  بادام کوهی </c:v>
                  </c:pt>
                  <c:pt idx="5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59">
                    <c:v>محصول</c:v>
                  </c:pt>
                  <c:pt idx="60">
                    <c:v>احیای 30 هکتار بذر للمی بادام کوهی به کمک 6 پروژه عایداتی ( هر پروژه عایداتی برای یک نفر کارگر محافظ و 5 هکتار) </c:v>
                  </c:pt>
                  <c:pt idx="61">
                    <c:v>تهیه و خریداری تخم پسته.</c:v>
                  </c:pt>
                  <c:pt idx="6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64">
                    <c:v>محصول</c:v>
                  </c:pt>
                  <c:pt idx="65">
                    <c:v>استخدام 2 نفر متخصص در بخش ارتقای ظرفیت انجمن ها</c:v>
                  </c:pt>
                  <c:pt idx="66">
                    <c:v>سفریه و کرایه تیم فنی غرض سفر به ولایات غرض نظارت از امور پروژه ها.</c:v>
                  </c:pt>
                  <c:pt idx="70">
                    <c:v>فعالیت ها </c:v>
                  </c:pt>
                  <c:pt idx="72">
                    <c:v>شناسایی انجمن علفچر ونباتات طبی </c:v>
                  </c:pt>
                  <c:pt idx="73">
                    <c:v>تدویرورکشاپ اموزشهای تخنیکی وپلان سازی برای اعضای انجمن </c:v>
                  </c:pt>
                  <c:pt idx="74">
                    <c:v>احیایی علفچر طبیعی توسط قروغ ، تناوب چرا ، تنظیم حیوانات مواشی درساحه حصار شده 1396توسط انجمن </c:v>
                  </c:pt>
                  <c:pt idx="75">
                    <c:v>احیاء  علفچرتوسط بذر تخم علوفه </c:v>
                  </c:pt>
                  <c:pt idx="76">
                    <c:v>تهیه تخم علوفه برای موازی 60 هکتار فی هکتار 5 کیلوگرام </c:v>
                  </c:pt>
                  <c:pt idx="77">
                    <c:v>بذرپاشی و زیرخاک نمودن تخم علفوفه درساحات تخریب شده علفچر</c:v>
                  </c:pt>
                  <c:pt idx="78">
                    <c:v>احیاء نباتات طبی هنگ </c:v>
                  </c:pt>
                  <c:pt idx="79">
                    <c:v>حفر و اصلاح چاله ،نرم کاری خاک وبذرتخم هنگ </c:v>
                  </c:pt>
                  <c:pt idx="80">
                    <c:v>ابیاری توسط اب پاش </c:v>
                  </c:pt>
                  <c:pt idx="81">
                    <c:v>خریداری تخم هنگ </c:v>
                  </c:pt>
                  <c:pt idx="82">
                    <c:v>خریداری اب پاش </c:v>
                  </c:pt>
                  <c:pt idx="83">
                    <c:v>تهیه اب </c:v>
                  </c:pt>
                  <c:pt idx="84">
                    <c:v>مصارف اموزش انجمنها و نظارت از فعالیت های تطبیق شده پروژه </c:v>
                  </c:pt>
                  <c:pt idx="86">
                    <c:v>محصول</c:v>
                  </c:pt>
                  <c:pt idx="87">
                    <c:v>احیایی علفچر طبیعی توسط قروغ ، تناوب چرا ، تنظیم حیوانات مواشی درساحه حصار شده 1396توسط انجمن </c:v>
                  </c:pt>
                  <c:pt idx="88">
                    <c:v>استخدام کارمند فنی برای 9 ماه</c:v>
                  </c:pt>
                  <c:pt idx="89">
                    <c:v>استخدام  نگران برای 12ماه</c:v>
                  </c:pt>
                  <c:pt idx="90">
                    <c:v>تثبیت ریگ های روان </c:v>
                  </c:pt>
                  <c:pt idx="91">
                    <c:v>تهیه قلمه گز، تاغ وسکساول </c:v>
                  </c:pt>
                  <c:pt idx="92">
                    <c:v>غرس قلمه گز، تاغ وسکساول</c:v>
                  </c:pt>
                  <c:pt idx="93">
                    <c:v>کشیدن نهال ازمرکزارایه خدمات تنظیم علفچر</c:v>
                  </c:pt>
                  <c:pt idx="94">
                    <c:v>تهیه یکعراد ه زرنج برای انتقال قلمه و نهال ریشه گز، تاغ وسکساول درساحه </c:v>
                  </c:pt>
                  <c:pt idx="95">
                    <c:v>حفرچقرک برای غرس نهال ریشه </c:v>
                  </c:pt>
                  <c:pt idx="96">
                    <c:v>غرس نهال ریشه گز، تاغ وسکساول </c:v>
                  </c:pt>
                  <c:pt idx="97">
                    <c:v>تهیه آب برای آبیاری نهال بک مرتبه </c:v>
                  </c:pt>
                  <c:pt idx="98">
                    <c:v>آبیاری نهال های غرس شده یک مرتبه </c:v>
                  </c:pt>
                  <c:pt idx="99">
                    <c:v>آماده ساختن موازی 20 جریب زمین برای بذر تخم علوفه وغرس قلمه گز ، تاغ وسکساول درمرکزارایه خدمات تنظیم علفجر </c:v>
                  </c:pt>
                  <c:pt idx="100">
                    <c:v>تهیه تخم علوفه اگروپایرون</c:v>
                  </c:pt>
                  <c:pt idx="101">
                    <c:v>بذرتخم علوفه در قطار ( فاصله بین قطار 50 سانتی )</c:v>
                  </c:pt>
                  <c:pt idx="102">
                    <c:v>تهیه کود وسیاه وسفید </c:v>
                  </c:pt>
                  <c:pt idx="103">
                    <c:v>کارگر برای خیشاوه نمودن یک مراتبه </c:v>
                  </c:pt>
                  <c:pt idx="104">
                    <c:v>کارگر آبیاری و درو نمودن برای مدت 8 ماه </c:v>
                  </c:pt>
                  <c:pt idx="105">
                    <c:v>احیاء نباتات طبی هنگ </c:v>
                  </c:pt>
                  <c:pt idx="106">
                    <c:v>حفر و اصلاح چاله ،نرم کاری خاک وبذرتخم هنگ </c:v>
                  </c:pt>
                  <c:pt idx="107">
                    <c:v>ابیار توسط اب پاش </c:v>
                  </c:pt>
                  <c:pt idx="108">
                    <c:v>خریداری تخم هنگ </c:v>
                  </c:pt>
                  <c:pt idx="109">
                    <c:v>خریداری اب پاش </c:v>
                  </c:pt>
                  <c:pt idx="110">
                    <c:v>تهیه اب </c:v>
                  </c:pt>
                  <c:pt idx="111">
                    <c:v>تهیه روغنیات برای زرنج و واترپمپ</c:v>
                  </c:pt>
                  <c:pt idx="112">
                    <c:v>مصارف اموزش انجمنها و نظارت از فعالیت های تطبیق شده پروژه </c:v>
                  </c:pt>
                  <c:pt idx="114">
                    <c:v>محصول</c:v>
                  </c:pt>
                  <c:pt idx="115">
                    <c:v>شناسایی انجمن علفچر ونباتات طبی </c:v>
                  </c:pt>
                  <c:pt idx="116">
                    <c:v>تدویرورکشاپ اموزشهای تخنیکی وپلان سازی برای اعضای انجمن </c:v>
                  </c:pt>
                  <c:pt idx="117">
                    <c:v>احیایی علفچر طبیعی توسط قروغ ، تناوب چرا ، تنظیم حیوانات مواشی درساحه حصار شده 1396توسط انجمن </c:v>
                  </c:pt>
                  <c:pt idx="118">
                    <c:v>احیاء علفچراز طریق بذر تخم رشقه للمی </c:v>
                  </c:pt>
                  <c:pt idx="119">
                    <c:v>تهیه تخم رشقه للمی </c:v>
                  </c:pt>
                  <c:pt idx="120">
                    <c:v>بذرتخم رشقه للمی وزیر خاک نمودن </c:v>
                  </c:pt>
                  <c:pt idx="121">
                    <c:v>احیاء نباتات طبی هنگ </c:v>
                  </c:pt>
                  <c:pt idx="122">
                    <c:v>حفرواصلاح چاله ،نرم کاری خاک وبذرتخم هنگ </c:v>
                  </c:pt>
                  <c:pt idx="123">
                    <c:v>ابیاری توسط اب پاش </c:v>
                  </c:pt>
                  <c:pt idx="124">
                    <c:v>خریداری تخم هنگ </c:v>
                  </c:pt>
                  <c:pt idx="125">
                    <c:v>خریداری اب پاش </c:v>
                  </c:pt>
                  <c:pt idx="126">
                    <c:v>تهیه اب </c:v>
                  </c:pt>
                  <c:pt idx="127">
                    <c:v>مصارف اموزش انجمنها و نظارت از فعالیت های تطبیق شده پروژه </c:v>
                  </c:pt>
                  <c:pt idx="129">
                    <c:v>محصول</c:v>
                  </c:pt>
                  <c:pt idx="130">
                    <c:v>استخدام  نگران برای 12 ماه</c:v>
                  </c:pt>
                  <c:pt idx="131">
                    <c:v>تثبیت ریگ های روان </c:v>
                  </c:pt>
                  <c:pt idx="132">
                    <c:v>تهیه قلمه گز، تاغ وسکساول </c:v>
                  </c:pt>
                  <c:pt idx="133">
                    <c:v>غرس قلمه گز، تاغ وسکساول</c:v>
                  </c:pt>
                  <c:pt idx="134">
                    <c:v>کشیدن نهال ازمرکزارایه خدمات تنظیم علفچر</c:v>
                  </c:pt>
                  <c:pt idx="135">
                    <c:v>تهیه یکعراد ه زرنج برای انتقال قلمه و نهال ریشه گز، تاغ وسکساول درساحه </c:v>
                  </c:pt>
                  <c:pt idx="136">
                    <c:v>حفرچقرک برای غرس نهال ریشه </c:v>
                  </c:pt>
                  <c:pt idx="137">
                    <c:v>غرس نهال ریشه گز، تاغ وسکساول </c:v>
                  </c:pt>
                  <c:pt idx="138">
                    <c:v>تهیه آب برای آبیاری نهال بک مرتبه </c:v>
                  </c:pt>
                  <c:pt idx="139">
                    <c:v>آبیاری نهال های غرس شده یک مرتبه </c:v>
                  </c:pt>
                  <c:pt idx="140">
                    <c:v>آماده ساختن زمین برای بذر تخم علوفه وغرس قلمه گز</c:v>
                  </c:pt>
                  <c:pt idx="141">
                    <c:v>تهیه تخم علوفه اگروپایرون</c:v>
                  </c:pt>
                  <c:pt idx="142">
                    <c:v>بذرتخم علوفه در قطار ( فاصله بین قطار 50 سانتی )</c:v>
                  </c:pt>
                  <c:pt idx="143">
                    <c:v>تهیه کود وسیاه وسفید </c:v>
                  </c:pt>
                  <c:pt idx="144">
                    <c:v>کارگر برای خیشاوه نمودن برای یک مراتبه</c:v>
                  </c:pt>
                  <c:pt idx="145">
                    <c:v>کارگر آبیاری و درو نمودن برای مدت 8 ماه </c:v>
                  </c:pt>
                  <c:pt idx="146">
                    <c:v>احیاء نباتات طبی شیرین بویه</c:v>
                  </c:pt>
                  <c:pt idx="147">
                    <c:v>حفرواصلاح چاله ،نرم کاری خاک وغرس قلمه شیرین بویه </c:v>
                  </c:pt>
                  <c:pt idx="148">
                    <c:v>تهیه قلمه ریشه شیرین بویه ، توسط کارگران محلی </c:v>
                  </c:pt>
                  <c:pt idx="149">
                    <c:v>ابیاری توسط اب پاش </c:v>
                  </c:pt>
                  <c:pt idx="150">
                    <c:v>خریداری قیجی شاخه بری فیلکو</c:v>
                  </c:pt>
                  <c:pt idx="151">
                    <c:v>خریداری اب پاش </c:v>
                  </c:pt>
                  <c:pt idx="152">
                    <c:v>تهیه اب </c:v>
                  </c:pt>
                  <c:pt idx="153">
                    <c:v>کرایه انتقال قلمه ریشه شرین بویه </c:v>
                  </c:pt>
                  <c:pt idx="154">
                    <c:v>خریداری روغنیات زرنج  </c:v>
                  </c:pt>
                  <c:pt idx="155">
                    <c:v>مصارف اموزش انجمنها و نظارت از فعالیت های تطبیق شده پروژه </c:v>
                  </c:pt>
                  <c:pt idx="157">
                    <c:v>محصول</c:v>
                  </c:pt>
                  <c:pt idx="158">
                    <c:v>شناسایی انجمن علفچر ونباتات طبی </c:v>
                  </c:pt>
                  <c:pt idx="159">
                    <c:v>تدویرورکشاپ اموزشهای تخنیکی وپلان سازی برای اعضای انجمن </c:v>
                  </c:pt>
                  <c:pt idx="160">
                    <c:v>احیایی علفچر طبیعی توسط قروغ ، تناوب چرا ، تنظیم حیوانات مواشی درساحه حصار شده 1396توسط انجمن </c:v>
                  </c:pt>
                  <c:pt idx="161">
                    <c:v>احیاء علفچراز طریق بذر تخم رشقه للمی </c:v>
                  </c:pt>
                  <c:pt idx="162">
                    <c:v>تهیه تخم رشقه للمی </c:v>
                  </c:pt>
                  <c:pt idx="163">
                    <c:v>بذرتخم رشقه للمی </c:v>
                  </c:pt>
                  <c:pt idx="164">
                    <c:v>احیاء نباتات طبی هنگ </c:v>
                  </c:pt>
                  <c:pt idx="165">
                    <c:v>حفرواصلاح چاله ،نرم کاری خاک وبذرتخم هنگ </c:v>
                  </c:pt>
                  <c:pt idx="166">
                    <c:v>ابیاری توسط اب پاش </c:v>
                  </c:pt>
                  <c:pt idx="167">
                    <c:v>خریداری تخم هنگ </c:v>
                  </c:pt>
                  <c:pt idx="168">
                    <c:v>خریداری اب پاش </c:v>
                  </c:pt>
                  <c:pt idx="169">
                    <c:v>تهیه اب </c:v>
                  </c:pt>
                  <c:pt idx="170">
                    <c:v>مصارف اموزش انجمنها و نظارت از فعالیت های تطبیق شده پروژه </c:v>
                  </c:pt>
                  <c:pt idx="172">
                    <c:v>محصول</c:v>
                  </c:pt>
                  <c:pt idx="173">
                    <c:v>احیایی علفچر طبیعی توسط قروغ ، تناوب چرا ، تنظیم حیوانات مواشی درساحه حصار شده 1396توسط انجمن </c:v>
                  </c:pt>
                  <c:pt idx="174">
                    <c:v>استخدام کارمند فنی برای 9 ماه</c:v>
                  </c:pt>
                  <c:pt idx="175">
                    <c:v>استخدام  نگران برای 12 ماه</c:v>
                  </c:pt>
                  <c:pt idx="176">
                    <c:v>کارگر برای خیشاوه نمودن برای 1 مراتبه</c:v>
                  </c:pt>
                  <c:pt idx="177">
                    <c:v>کارگر آبیاری و درو نمودن برای مدت 8 ماه </c:v>
                  </c:pt>
                  <c:pt idx="178">
                    <c:v>مصارف اموزش انجمنها و نظارت از فعالیت های تطبیق شده پروژه </c:v>
                  </c:pt>
                  <c:pt idx="180">
                    <c:v>محصول</c:v>
                  </c:pt>
                  <c:pt idx="181">
                    <c:v>احیایی علفچر طبیعی توسط قروغ ، تناوب چرا ، تنظیم حیوانات مواشی درساحه حصار شده 1396توسط انجمن </c:v>
                  </c:pt>
                  <c:pt idx="182">
                    <c:v>استخدام  نگران برای 12ماه</c:v>
                  </c:pt>
                  <c:pt idx="183">
                    <c:v>کارگر آبیاری و درو نمودن برای مدت 8 ماه </c:v>
                  </c:pt>
                  <c:pt idx="184">
                    <c:v>کارگر برای خیشاوه نمودن برای یک  مراتبه</c:v>
                  </c:pt>
                  <c:pt idx="185">
                    <c:v>مصارف اموزش انجمنها و نظارت از فعالیت های تطبیق شده پروژه </c:v>
                  </c:pt>
                  <c:pt idx="187">
                    <c:v>محصول</c:v>
                  </c:pt>
                  <c:pt idx="188">
                    <c:v>استخدام کارمند فنی برای 9 ماه</c:v>
                  </c:pt>
                  <c:pt idx="189">
                    <c:v>استخدام  نگران برای 12ماه</c:v>
                  </c:pt>
                  <c:pt idx="190">
                    <c:v>شناسایی انجمن علفچر ونباتات طبی </c:v>
                  </c:pt>
                  <c:pt idx="191">
                    <c:v>تدویرورکشاپ اموزشهای تخنیکی وپلان سازی برای اعضای انجمن </c:v>
                  </c:pt>
                  <c:pt idx="192">
                    <c:v>تثبیت ریگ های روان </c:v>
                  </c:pt>
                  <c:pt idx="193">
                    <c:v>تهیه قلمه گز، تاغ وسکساول </c:v>
                  </c:pt>
                  <c:pt idx="194">
                    <c:v>غرس قلمه گز، تاغ وسکساول</c:v>
                  </c:pt>
                  <c:pt idx="195">
                    <c:v>کشیدن نهال ازمرکزارایه خدمات تنظیم علفچر</c:v>
                  </c:pt>
                  <c:pt idx="196">
                    <c:v>تهیه یکعراد ه زرنج برای انتقال قلمه و نهال ریشه گز، تاغ وسکساول درساحه </c:v>
                  </c:pt>
                  <c:pt idx="197">
                    <c:v>حفرچقرک برای غرس نهال ریشه </c:v>
                  </c:pt>
                  <c:pt idx="198">
                    <c:v>غرس نهال ریشه گز، تاغ وسکساول </c:v>
                  </c:pt>
                  <c:pt idx="199">
                    <c:v>تهیه آب برای آبیاری نهال یک مرتبه </c:v>
                  </c:pt>
                  <c:pt idx="200">
                    <c:v>آبیاری نهال های غرس شده یک مرتبه </c:v>
                  </c:pt>
                  <c:pt idx="201">
                    <c:v>آماده ساختن زمین برای بذر تخم علوفه وغرس قلمه گز</c:v>
                  </c:pt>
                  <c:pt idx="202">
                    <c:v>تهیه تخم علوفه اگروپایرون</c:v>
                  </c:pt>
                  <c:pt idx="203">
                    <c:v>بذرتخم علوفه در قطار ( فاصله بین قطار 50 سانتی )</c:v>
                  </c:pt>
                  <c:pt idx="204">
                    <c:v>تهیه کود وسیاه وسفید </c:v>
                  </c:pt>
                  <c:pt idx="205">
                    <c:v>کارگر برای خیشاوه نمودن برای 1  مراتبه</c:v>
                  </c:pt>
                  <c:pt idx="206">
                    <c:v>کارگر آبیاری و درو نمودن برای مدت 8 ماه </c:v>
                  </c:pt>
                  <c:pt idx="207">
                    <c:v>احیا وحفاظت نبات طبی هنگ</c:v>
                  </c:pt>
                  <c:pt idx="208">
                    <c:v>حفرو اصلاح چاله ، نرم کاری خاک ، وبذرتخم هنگ </c:v>
                  </c:pt>
                  <c:pt idx="209">
                    <c:v>تهیه اب </c:v>
                  </c:pt>
                  <c:pt idx="210">
                    <c:v>ابیاری توسط ابپاش</c:v>
                  </c:pt>
                  <c:pt idx="211">
                    <c:v>خریداری تخم هنگ </c:v>
                  </c:pt>
                  <c:pt idx="212">
                    <c:v>خریداری اب پاش </c:v>
                  </c:pt>
                  <c:pt idx="213">
                    <c:v>روغنیات زرنج </c:v>
                  </c:pt>
                  <c:pt idx="214">
                    <c:v>مصارف اموزش انجمنها و نظارت از فعالیت های تطبیق شده پروژه </c:v>
                  </c:pt>
                  <c:pt idx="216">
                    <c:v>محصول</c:v>
                  </c:pt>
                  <c:pt idx="217">
                    <c:v>استخدام  نگران برای 12ماه</c:v>
                  </c:pt>
                  <c:pt idx="218">
                    <c:v>احیایی علفچر طبیعی توسط قروغ ، تناوب چرا ، تنظیم حیوانات مواشی درساحه حصار شده 1396توسط انجمن </c:v>
                  </c:pt>
                  <c:pt idx="219">
                    <c:v>تثبیت ریگ های روان </c:v>
                  </c:pt>
                  <c:pt idx="220">
                    <c:v>تهیه قلمه گز، تاغ وسکساول </c:v>
                  </c:pt>
                  <c:pt idx="221">
                    <c:v>غرس قلمه گز، تاغ وسکساول</c:v>
                  </c:pt>
                  <c:pt idx="222">
                    <c:v>کشیدن نهال ازمرکزارایه خدمات تنظیم علفچر</c:v>
                  </c:pt>
                  <c:pt idx="223">
                    <c:v>تهیه یکعراد ه زرنج برای انتقال قلمه و نهال ریشه گز، تاغ وسکساول درساحه </c:v>
                  </c:pt>
                  <c:pt idx="224">
                    <c:v>حفرچقرک برای غرس نهال ریشه </c:v>
                  </c:pt>
                  <c:pt idx="225">
                    <c:v>غرس نهال ریشه گز، تاغ وسکساول </c:v>
                  </c:pt>
                  <c:pt idx="226">
                    <c:v>تهیه آب برای آبیاری نهال یک مرتبه </c:v>
                  </c:pt>
                  <c:pt idx="227">
                    <c:v>آبیاری نهال های غرس شده یک مرتبه </c:v>
                  </c:pt>
                  <c:pt idx="228">
                    <c:v>آماده ساختن زمین مراکز تکثیری برای بذر تخم علوفه وغرس قلمه</c:v>
                  </c:pt>
                  <c:pt idx="229">
                    <c:v>تهیه تخم علوفه اگروپایرون</c:v>
                  </c:pt>
                  <c:pt idx="230">
                    <c:v>بذرتخم علوفه در قطار درساحه 2 هکتارمرکزارایه خدمات تنظیم علفچر </c:v>
                  </c:pt>
                  <c:pt idx="231">
                    <c:v>تهیه کود وسیاه وسفید </c:v>
                  </c:pt>
                  <c:pt idx="232">
                    <c:v>کارگر برای خیشاوه نمودن برای 1 مراتبه</c:v>
                  </c:pt>
                  <c:pt idx="233">
                    <c:v>کارگر آبیاری و درو نمودن برای مدت 8 ماه </c:v>
                  </c:pt>
                  <c:pt idx="234">
                    <c:v>تهیه روغنیات برای زرنج</c:v>
                  </c:pt>
                  <c:pt idx="235">
                    <c:v>مصارف اموزش انجمنها و نظارت از فعالیت های تطبیق شده پروژه </c:v>
                  </c:pt>
                  <c:pt idx="237">
                    <c:v>محصول</c:v>
                  </c:pt>
                  <c:pt idx="238">
                    <c:v>شناسایی انجمن علفچر ونباتات طبی </c:v>
                  </c:pt>
                  <c:pt idx="239">
                    <c:v>تدویرورکشاپ اموزشهای تخنیکی وپلان سازی برای اعضای انجمن </c:v>
                  </c:pt>
                  <c:pt idx="240">
                    <c:v>احیاء موازی 100 هکتار علفچرتوسط بذر تخم علوفه </c:v>
                  </c:pt>
                  <c:pt idx="241">
                    <c:v>تهیه تخم علوفه برای موازی 100 هکتار فی هکتار 5 کیلوگرام </c:v>
                  </c:pt>
                  <c:pt idx="242">
                    <c:v>بذرپاشی و زیرخاک نمودن تخم علفوفه درساحات تخریب شده علفچر</c:v>
                  </c:pt>
                  <c:pt idx="243">
                    <c:v>مصارف اموزش انجمنها و نظارت از فعالیت های تطبیق شده پروژه </c:v>
                  </c:pt>
                  <c:pt idx="245">
                    <c:v>محصول</c:v>
                  </c:pt>
                  <c:pt idx="246">
                    <c:v>شناسایی انجمن علفچر ونباتات طبی </c:v>
                  </c:pt>
                  <c:pt idx="247">
                    <c:v>تدویرورکشاپ اموزشهای تخنیکی وپلان سازی برای اعضای انجمن </c:v>
                  </c:pt>
                  <c:pt idx="248">
                    <c:v>احیاء موازی 100 هکتار علفچرتوسط بذر تخم علوفه </c:v>
                  </c:pt>
                  <c:pt idx="249">
                    <c:v>تهیه تخم علوفه فی هکتار 5 کیلوگرام </c:v>
                  </c:pt>
                  <c:pt idx="250">
                    <c:v>بذرپاشی و زیرخاک نمودن تخم علفوفه درساحات تخریب شده علفچر</c:v>
                  </c:pt>
                  <c:pt idx="251">
                    <c:v>مصارف اموزش انجمنها و نظارت از فعالیت های تطبیق شده پروژه </c:v>
                  </c:pt>
                  <c:pt idx="253">
                    <c:v>محصول</c:v>
                  </c:pt>
                  <c:pt idx="254">
                    <c:v>شناسایی انجمن علفچر ونباتات طبی </c:v>
                  </c:pt>
                  <c:pt idx="255">
                    <c:v>تدویرورکشاپ اموزشهای تخنیکی وپلان سازی برای اعضای انجمن </c:v>
                  </c:pt>
                  <c:pt idx="256">
                    <c:v>احیاء موازی 100 هکتار علفچرتوسط بذر تخم علوفه </c:v>
                  </c:pt>
                  <c:pt idx="257">
                    <c:v>تهیه تخم علوفه برای موازی 100 هکتار فی هکتار 5 کیلوگرام </c:v>
                  </c:pt>
                  <c:pt idx="258">
                    <c:v>بذرپاشی و زیرخاک نمودن تخم علفوفه درساحات تخریب شده علفچر</c:v>
                  </c:pt>
                  <c:pt idx="259">
                    <c:v>مصارف اموزش انجمنها و نظارت از فعالیت های تطبیق شده پروژه </c:v>
                  </c:pt>
                  <c:pt idx="261">
                    <c:v>محصول</c:v>
                  </c:pt>
                  <c:pt idx="262">
                    <c:v>شناسایی انجمن علفچر ونباتات طبی </c:v>
                  </c:pt>
                  <c:pt idx="263">
                    <c:v>تدویرورکشاپ اموزشهای تخنیکی وپلان سازی برای اعضای انجمن </c:v>
                  </c:pt>
                  <c:pt idx="264">
                    <c:v>احیاء موازی 100 هکتار علفچرتوسط بذر تخم رشقه للمی </c:v>
                  </c:pt>
                  <c:pt idx="265">
                    <c:v>تهیه تخم رشقه برای موازی 100 هکتار </c:v>
                  </c:pt>
                  <c:pt idx="266">
                    <c:v>بذرپاشی و زیرخاک نمودن تخم رشقه للمی درساحات تخریب شده علفچر</c:v>
                  </c:pt>
                  <c:pt idx="267">
                    <c:v>مصارف اموزش انجمنها و نظارت از فعالیت های تطبیق شده پروژه </c:v>
                  </c:pt>
                  <c:pt idx="269">
                    <c:v>محصول</c:v>
                  </c:pt>
                  <c:pt idx="270">
                    <c:v>شناسایی انجمن علفچر ونباتات طبی </c:v>
                  </c:pt>
                  <c:pt idx="271">
                    <c:v>تدویرورکشاپ اموزشهای تخنیکی وپلان سازی برای اعضای انجمن </c:v>
                  </c:pt>
                  <c:pt idx="272">
                    <c:v>احیاء موازی 100 هکتار علفچرتوسط بذر تخم رشقه للمی </c:v>
                  </c:pt>
                  <c:pt idx="273">
                    <c:v>تهیه تخم علوفه برای موازی 100 هکتار </c:v>
                  </c:pt>
                  <c:pt idx="274">
                    <c:v>بذرپاشی و زیرخاک نمودن تخم رشقه للمی درساحات تخریب شده علفچر</c:v>
                  </c:pt>
                  <c:pt idx="275">
                    <c:v>احیاء نبات طبی هنگ </c:v>
                  </c:pt>
                  <c:pt idx="276">
                    <c:v>حفرواصلاح چاله ،نرم کاری خاک وبذرتخم هنگ </c:v>
                  </c:pt>
                  <c:pt idx="277">
                    <c:v>ابیاری توسط اب پاش </c:v>
                  </c:pt>
                  <c:pt idx="278">
                    <c:v>خریداری تخم هنگ </c:v>
                  </c:pt>
                  <c:pt idx="279">
                    <c:v>خریداری اب پاش </c:v>
                  </c:pt>
                  <c:pt idx="280">
                    <c:v>تهیه اب </c:v>
                  </c:pt>
                  <c:pt idx="281">
                    <c:v>مصارف اموزش انجمنها و نظارت از فعالیت های تطبیق شده پروژه </c:v>
                  </c:pt>
                  <c:pt idx="283">
                    <c:v>محصول</c:v>
                  </c:pt>
                  <c:pt idx="284">
                    <c:v>شناسایی انجمن علفچر ونباتات طبی </c:v>
                  </c:pt>
                  <c:pt idx="285">
                    <c:v>تدویرورکشاپ اموزشهای تخنیکی وپلان سازی برای اعضای انجمن </c:v>
                  </c:pt>
                  <c:pt idx="286">
                    <c:v>احیاء موازی 100 هکتار علفچرتوسط بذر تخم علوفه </c:v>
                  </c:pt>
                  <c:pt idx="287">
                    <c:v>تهیه تخم علوفه برای موازی 100 هکتار فی هکتار 5 کیلوگرام </c:v>
                  </c:pt>
                  <c:pt idx="288">
                    <c:v>بذرپاشی و زیرخاک نمودن تخم رشقه للمی درساحات تخریب شده علفچر</c:v>
                  </c:pt>
                  <c:pt idx="289">
                    <c:v>احیاء نباتات طبی هنگ </c:v>
                  </c:pt>
                  <c:pt idx="290">
                    <c:v>حفرواصلاح چاله ،نرم کاری خاک وبذرتخم هنگ </c:v>
                  </c:pt>
                  <c:pt idx="291">
                    <c:v>ابیاری توسط اب پاش </c:v>
                  </c:pt>
                  <c:pt idx="292">
                    <c:v>خریداری تخم هنگ </c:v>
                  </c:pt>
                  <c:pt idx="293">
                    <c:v>خریداری اب پاش </c:v>
                  </c:pt>
                  <c:pt idx="294">
                    <c:v>تهیه اب </c:v>
                  </c:pt>
                  <c:pt idx="295">
                    <c:v>مصارف اموزش انجمنها و نظارت از فعالیت های تطبیق شده پروژه </c:v>
                  </c:pt>
                  <c:pt idx="297">
                    <c:v>استخدام یک نفر متخصص علفچرها</c:v>
                  </c:pt>
                  <c:pt idx="298">
                    <c:v>تمدید قرارداد یک نفر متخصص نباتات طبی</c:v>
                  </c:pt>
                  <c:pt idx="302">
                    <c:v>محصول</c:v>
                  </c:pt>
                  <c:pt idx="303">
                    <c:v>آماده ساختن وپلات بندی یک  جریب زمین </c:v>
                  </c:pt>
                  <c:pt idx="304">
                    <c:v>خیشاوه کتمن کاری (3) جریب زمین برای 3 مرتبه </c:v>
                  </c:pt>
                  <c:pt idx="305">
                    <c:v>پاککاری جوی ها بطول (287) متر</c:v>
                  </c:pt>
                  <c:pt idx="306">
                    <c:v>تهیه(20) مترمکعب کمپوست </c:v>
                  </c:pt>
                  <c:pt idx="307">
                    <c:v>تراسپلانت (10000) اصله نهال </c:v>
                  </c:pt>
                  <c:pt idx="308">
                    <c:v>بذرساحه یک جریب زمین درساحه آذاد</c:v>
                  </c:pt>
                  <c:pt idx="309">
                    <c:v>مواد ،تجهیزات ،وسایل کاروروغنیات </c:v>
                  </c:pt>
                  <c:pt idx="311">
                    <c:v>آماده ساختن وپلات بندی 5 جریب زمین </c:v>
                  </c:pt>
                  <c:pt idx="312">
                    <c:v>خیشاوه کتمن کاری (3) جریب زمین برای 3 مرتبه </c:v>
                  </c:pt>
                  <c:pt idx="313">
                    <c:v>پاککاری جوی ها بطول (250) متر</c:v>
                  </c:pt>
                  <c:pt idx="314">
                    <c:v>تهیه(11) مترمکعب کمپوست </c:v>
                  </c:pt>
                  <c:pt idx="315">
                    <c:v>تراسپلانت (10000) اصله نهال </c:v>
                  </c:pt>
                  <c:pt idx="316">
                    <c:v>بذرساحه یک جریب زمین درساحه آذاد</c:v>
                  </c:pt>
                  <c:pt idx="317">
                    <c:v>مواد ،تجهیزات ،وسایل کاروروغنیات </c:v>
                  </c:pt>
                  <c:pt idx="319">
                    <c:v>آماده ساختن وپلات بندی 5 جریب زمین </c:v>
                  </c:pt>
                  <c:pt idx="320">
                    <c:v>بذرساحه یک جریب زمین درساحه آذاد</c:v>
                  </c:pt>
                  <c:pt idx="321">
                    <c:v>خیشاوه کتمن کاری (3) جریب زمین برای 3 مرتبه </c:v>
                  </c:pt>
                  <c:pt idx="322">
                    <c:v>پاککاری جوی ها بطول (500) متر</c:v>
                  </c:pt>
                  <c:pt idx="323">
                    <c:v>تهیه(20) مترمکعب کمپوست </c:v>
                  </c:pt>
                  <c:pt idx="324">
                    <c:v>تراسپلانت (10000) اصله نهال </c:v>
                  </c:pt>
                  <c:pt idx="325">
                    <c:v>مواد ،تجهیزات ،وسایل کاروروغنیات </c:v>
                  </c:pt>
                  <c:pt idx="327">
                    <c:v>آماده ساختن وپلات بندی 30 جریب زمین </c:v>
                  </c:pt>
                  <c:pt idx="328">
                    <c:v>احداث سرک های فرعی فارم </c:v>
                  </c:pt>
                  <c:pt idx="329">
                    <c:v>احداث جوی های  جدید بطول (500) متر</c:v>
                  </c:pt>
                  <c:pt idx="330">
                    <c:v>بذرساحه دو جریب زمین درساحه آذاد</c:v>
                  </c:pt>
                  <c:pt idx="331">
                    <c:v>مواد ،تجهیزات ،وسایل کاروروغنیات </c:v>
                  </c:pt>
                  <c:pt idx="332">
                    <c:v>اعماردیوار احاطه ، تعمیر ، چاه عمیق وفعالیت های تخنیکی قرارداد شده 1396</c:v>
                  </c:pt>
                  <c:pt idx="334">
                    <c:v>اماده ساختن وپلات بندی (4 )جریب زمین </c:v>
                  </c:pt>
                  <c:pt idx="335">
                    <c:v>بذرساحه یک جریب زمین درساحه آذاد</c:v>
                  </c:pt>
                  <c:pt idx="336">
                    <c:v>خیشاوه کتمن کاری (3) جریب زمین برای 3 مرتبه </c:v>
                  </c:pt>
                  <c:pt idx="337">
                    <c:v>پاککاری جوی ها بطول (250) متر</c:v>
                  </c:pt>
                  <c:pt idx="338">
                    <c:v>تهیه(12) مترمکعب کمپوست </c:v>
                  </c:pt>
                  <c:pt idx="339">
                    <c:v>مواد ،تجهیزات ،وسایل کاروروغنیات </c:v>
                  </c:pt>
                  <c:pt idx="340">
                    <c:v>ترمیم ذخیره آب  وشبکه آبیاری قوریه  فارم مره لاق </c:v>
                  </c:pt>
                  <c:pt idx="342">
                    <c:v>اماده ساختن وپلات بندی (4 )جریب زمین </c:v>
                  </c:pt>
                  <c:pt idx="343">
                    <c:v>خیشاوه کتمن کاری (5) جریب زمین برای 3 مرتبه </c:v>
                  </c:pt>
                  <c:pt idx="344">
                    <c:v>پاککاری جوی ها بطول (250) متر</c:v>
                  </c:pt>
                  <c:pt idx="345">
                    <c:v>تهیه(12) مترمکعب کمپوست </c:v>
                  </c:pt>
                  <c:pt idx="346">
                    <c:v>مواد ،تجهیزات ،وسایل کاروروغنیات </c:v>
                  </c:pt>
                  <c:pt idx="348">
                    <c:v>اماده سا ختن 20جریب زمین </c:v>
                  </c:pt>
                  <c:pt idx="349">
                    <c:v>بذرساحه دو جریب زمین درساحه آذاد</c:v>
                  </c:pt>
                  <c:pt idx="350">
                    <c:v>پرکاری (20000) خریطه پلاستیکی وبذرآن</c:v>
                  </c:pt>
                  <c:pt idx="351">
                    <c:v>خیشاوه کتمن کاری 7جریب زمین برای3 مرتبه </c:v>
                  </c:pt>
                  <c:pt idx="352">
                    <c:v>پاککاری جوی ها بطول (300) متر</c:v>
                  </c:pt>
                  <c:pt idx="353">
                    <c:v>تهیه(20) مترمکعب کمپوست </c:v>
                  </c:pt>
                  <c:pt idx="354">
                    <c:v>تراسپلانت (15000) اصله نهال </c:v>
                  </c:pt>
                  <c:pt idx="355">
                    <c:v>مواد ،تجهیزات ،وسایل کاروروغنیات </c:v>
                  </c:pt>
                  <c:pt idx="357">
                    <c:v>آماده ساختن وپلات بندی 3 جریب زمین </c:v>
                  </c:pt>
                  <c:pt idx="358">
                    <c:v>خیشاوه کتمن کاری (2) جریب زمین برای 3 مرتبه </c:v>
                  </c:pt>
                  <c:pt idx="359">
                    <c:v>پاککاری جوی ها بطول (300) متر</c:v>
                  </c:pt>
                  <c:pt idx="360">
                    <c:v>تهیه(15) مترمکعب کمپوست </c:v>
                  </c:pt>
                  <c:pt idx="361">
                    <c:v>بذرساحه یک جریب زمین درساحه آذاد</c:v>
                  </c:pt>
                  <c:pt idx="362">
                    <c:v>اعمار سیتم آبیاری فارم تاشلی گذر </c:v>
                  </c:pt>
                  <c:pt idx="363">
                    <c:v>مواد ،تجهیزات ،وسایل کاروروغنیات </c:v>
                  </c:pt>
                  <c:pt idx="365">
                    <c:v>آماده ساختن وپلات بندی 5 جریب زمین </c:v>
                  </c:pt>
                  <c:pt idx="366">
                    <c:v>بذرساحه یک جریب زمین درساحه آذاد</c:v>
                  </c:pt>
                  <c:pt idx="367">
                    <c:v>خیشاوه کتمن کاری (6) جریب زمین برای 3 مرتبه </c:v>
                  </c:pt>
                  <c:pt idx="368">
                    <c:v>پاککاری جوی ها بطول (300) متر</c:v>
                  </c:pt>
                  <c:pt idx="369">
                    <c:v>تهیه(15) مترمکعب کمپوست </c:v>
                  </c:pt>
                  <c:pt idx="370">
                    <c:v>تراسپلانت (20000) اصله نهال </c:v>
                  </c:pt>
                  <c:pt idx="371">
                    <c:v>مواد ،تجهیزات ،وسایل کاروروغنیات </c:v>
                  </c:pt>
                  <c:pt idx="373">
                    <c:v>اماده ساختن وپلات بندی (6 )جریب زمین </c:v>
                  </c:pt>
                  <c:pt idx="374">
                    <c:v>بذرساحه یک جریب زمین درساحه آذاد</c:v>
                  </c:pt>
                  <c:pt idx="375">
                    <c:v>پرکاری (20000) خریطه پلاستیکی وبذرآن</c:v>
                  </c:pt>
                  <c:pt idx="376">
                    <c:v>خیشاوه کتمن کاری (5) جریب زمین برای 3 مرتبه </c:v>
                  </c:pt>
                  <c:pt idx="377">
                    <c:v>پاککاری جوی ها بطول (300) متر</c:v>
                  </c:pt>
                  <c:pt idx="378">
                    <c:v>تهیه(12) مترمکعب کمپوست </c:v>
                  </c:pt>
                  <c:pt idx="379">
                    <c:v>تراسپلانت (20000) اصله نهال </c:v>
                  </c:pt>
                  <c:pt idx="380">
                    <c:v>مواد ،تجهیزات ،وسایل کاروروغنیات </c:v>
                  </c:pt>
                  <c:pt idx="382">
                    <c:v>اماده ساختن وپلات بندی (5)جریب زمین </c:v>
                  </c:pt>
                  <c:pt idx="383">
                    <c:v>بذرساحه یک جریب زمین درساحه آذاد</c:v>
                  </c:pt>
                  <c:pt idx="384">
                    <c:v>خیشاوه کتمن کاری (6) جریب زمین برای 3 مرتبه </c:v>
                  </c:pt>
                  <c:pt idx="385">
                    <c:v>پاککاری جوی ها بطول (300) متر</c:v>
                  </c:pt>
                  <c:pt idx="386">
                    <c:v>تهیه(20) مترمکعب کمپوست </c:v>
                  </c:pt>
                  <c:pt idx="387">
                    <c:v>تراسپلانت (10000) اصله نهال </c:v>
                  </c:pt>
                  <c:pt idx="388">
                    <c:v>مواد ،تجهیزات ،وسایل کاروروغنیات </c:v>
                  </c:pt>
                  <c:pt idx="390">
                    <c:v>اماده سا ختن10جریب زمین </c:v>
                  </c:pt>
                  <c:pt idx="391">
                    <c:v>بذرساحه یک جریب زمین درساحه آذاد</c:v>
                  </c:pt>
                  <c:pt idx="392">
                    <c:v>خیشاوه کتمن کاری (6) جریب زمین برای 3 مرتبه </c:v>
                  </c:pt>
                  <c:pt idx="393">
                    <c:v>پاککاری جوی ها بطول (250) متر</c:v>
                  </c:pt>
                  <c:pt idx="394">
                    <c:v>تهیه(25) مترمکعب کمپوست </c:v>
                  </c:pt>
                  <c:pt idx="395">
                    <c:v>حفریک حلقه چاه عمیق ونصب سولر</c:v>
                  </c:pt>
                  <c:pt idx="396">
                    <c:v>مواد ،تجهیزات ،وسایل کاروروغنیات </c:v>
                  </c:pt>
                  <c:pt idx="398">
                    <c:v>آماده ساختن وپلات بندی 6 جریب زمین </c:v>
                  </c:pt>
                  <c:pt idx="399">
                    <c:v>بذرساحه یک جریب زمین درساحه آذاد</c:v>
                  </c:pt>
                  <c:pt idx="400">
                    <c:v>خیشاوه کتمن کاری (6) جریب زمین برای 3 مرتبه </c:v>
                  </c:pt>
                  <c:pt idx="401">
                    <c:v>پرکاری (19000) خریطه پلاستیکی وبذرآن</c:v>
                  </c:pt>
                  <c:pt idx="402">
                    <c:v>پاککاری جوی ها بطول (300) متر</c:v>
                  </c:pt>
                  <c:pt idx="403">
                    <c:v>تهیه(11) مترمکعب کمپوست </c:v>
                  </c:pt>
                  <c:pt idx="404">
                    <c:v>تراسپلانت (10000) اصله نهال </c:v>
                  </c:pt>
                  <c:pt idx="405">
                    <c:v>حفریک حلقه چاه عمیق ونصب سولر</c:v>
                  </c:pt>
                  <c:pt idx="406">
                    <c:v>مواد ،تجهیزات ،وسایل کاروروغنیات </c:v>
                  </c:pt>
                  <c:pt idx="408">
                    <c:v>اماده سا ختن5جریب زمین </c:v>
                  </c:pt>
                  <c:pt idx="409">
                    <c:v>خیشاوه کتمن کاری (3) جریب زمین برای 3 مرتبه </c:v>
                  </c:pt>
                  <c:pt idx="410">
                    <c:v>پاککاری جوی ها بطول (250) متر</c:v>
                  </c:pt>
                  <c:pt idx="411">
                    <c:v>تهیه(15) مترمکعب کمپوست </c:v>
                  </c:pt>
                  <c:pt idx="412">
                    <c:v>بذرساحه یک جریب زمین درساحه آذاد</c:v>
                  </c:pt>
                  <c:pt idx="413">
                    <c:v>پرداخت پول سبز خانه قرارداد شده سال 1396</c:v>
                  </c:pt>
                  <c:pt idx="414">
                    <c:v>مواد ،تجهیزات ،وسایل کاروروغنیات </c:v>
                  </c:pt>
                  <c:pt idx="416">
                    <c:v>اماده سا ختن10جریب زمین </c:v>
                  </c:pt>
                  <c:pt idx="417">
                    <c:v>پاککاری جوی ها بطول (250) متر</c:v>
                  </c:pt>
                  <c:pt idx="418">
                    <c:v>تهیه(10) مترمکعب کمپوست </c:v>
                  </c:pt>
                  <c:pt idx="419">
                    <c:v>بذرساحه یک جریب زمین درساحه آذاد</c:v>
                  </c:pt>
                  <c:pt idx="420">
                    <c:v> نصب سیتم انرژی آفتابی یک حلقه چاه در قوریه تنی </c:v>
                  </c:pt>
                  <c:pt idx="421">
                    <c:v>مواد ،تجهیزات ،وسایل کاروروغنیات </c:v>
                  </c:pt>
                  <c:pt idx="423">
                    <c:v>اماده سا ختن 15جریب زمین </c:v>
                  </c:pt>
                  <c:pt idx="424">
                    <c:v>بذرساحه دو جریب زمین درساحه آذاد</c:v>
                  </c:pt>
                  <c:pt idx="425">
                    <c:v>پرکاری (40000) خریطه پلاستیکی وبذرآن</c:v>
                  </c:pt>
                  <c:pt idx="426">
                    <c:v>خیشاوه کتمن کاری 7جریب زمین برای3 مرتبه </c:v>
                  </c:pt>
                  <c:pt idx="427">
                    <c:v>پاککاری جوی ها بطول (300) متر</c:v>
                  </c:pt>
                  <c:pt idx="428">
                    <c:v>تهیه(20) مترمکعب کمپوست </c:v>
                  </c:pt>
                  <c:pt idx="429">
                    <c:v>تراسپلانت (15000) اصله نهال </c:v>
                  </c:pt>
                  <c:pt idx="430">
                    <c:v>حفر چقرک </c:v>
                  </c:pt>
                  <c:pt idx="431">
                    <c:v>نهال شانی نهال بانکس </c:v>
                  </c:pt>
                  <c:pt idx="432">
                    <c:v>آبیاری نهال های غرس شده برای یک مرتبه </c:v>
                  </c:pt>
                  <c:pt idx="433">
                    <c:v>تدویر ورکشاپ یک روزه برای 35 نفر کارمندان ریاست زراعت </c:v>
                  </c:pt>
                  <c:pt idx="434">
                    <c:v>آموزش کارمندان توسط ترینر</c:v>
                  </c:pt>
                  <c:pt idx="435">
                    <c:v>تهیه غذا ، قرطاسیه وسایر ضروریات ورکشاپ </c:v>
                  </c:pt>
                  <c:pt idx="436">
                    <c:v>خریداری نهال ریشه ئی بانکس وانتقال آن به ساحه </c:v>
                  </c:pt>
                  <c:pt idx="437">
                    <c:v>خریداری اجناس ووسایل وسایر ضروریات ازقبیل (متر ، بیل ، کلند کود سیاه وسفید ) وغیره </c:v>
                  </c:pt>
                  <c:pt idx="439">
                    <c:v>اماده ساختن وپلات بندی (4 )جریب زمین </c:v>
                  </c:pt>
                  <c:pt idx="440">
                    <c:v>خیشاوه کتمن کاری (3) جریب زمین برای 3 مرتبه </c:v>
                  </c:pt>
                  <c:pt idx="441">
                    <c:v>پاککاری جوی ها بطول (250) متر</c:v>
                  </c:pt>
                  <c:pt idx="442">
                    <c:v>تهیه(10) مترمکعب کمپوست </c:v>
                  </c:pt>
                  <c:pt idx="443">
                    <c:v>تراسپلانت (10000) اصله نهال </c:v>
                  </c:pt>
                  <c:pt idx="444">
                    <c:v>بذرساحه یک  جریب زمین درساحه آذاد</c:v>
                  </c:pt>
                  <c:pt idx="445">
                    <c:v>مواد ،تجهیزات ،وسایل کاروروغنیات </c:v>
                  </c:pt>
                  <c:pt idx="447">
                    <c:v>اماده ساختن وپلات بندی (4 )جریب زمین </c:v>
                  </c:pt>
                  <c:pt idx="448">
                    <c:v>پرکاری (30000) خریطه پلاستیکی وبذرآن</c:v>
                  </c:pt>
                  <c:pt idx="449">
                    <c:v>خیشاوه کتمن کاری (5) جریب زمین برای 3 مرتبه </c:v>
                  </c:pt>
                  <c:pt idx="450">
                    <c:v>پاککاری جوی ها بطول (300) متر</c:v>
                  </c:pt>
                  <c:pt idx="451">
                    <c:v>تهیه(15) مترمکعب کمپوست </c:v>
                  </c:pt>
                  <c:pt idx="452">
                    <c:v>تراسپلانت (10000) اصله نهال </c:v>
                  </c:pt>
                  <c:pt idx="453">
                    <c:v>بذرساحه یک   جریب زمین درساحه آذاد</c:v>
                  </c:pt>
                  <c:pt idx="454">
                    <c:v>مواد ،تجهیزات ،وسایل کاروروغنیات </c:v>
                  </c:pt>
                  <c:pt idx="456">
                    <c:v>اماده ساختن وپلات بندی (8 )جریب زمین </c:v>
                  </c:pt>
                  <c:pt idx="457">
                    <c:v>بذرساحه دو  جریب زمین درساحه آذاد</c:v>
                  </c:pt>
                  <c:pt idx="458">
                    <c:v>خیشاوه کتمن کاری (8) جریب زمین برای 3 مرتبه </c:v>
                  </c:pt>
                  <c:pt idx="459">
                    <c:v>پاککاری جوی ها بطول (350) متر</c:v>
                  </c:pt>
                  <c:pt idx="460">
                    <c:v>تهیه(15) مترمکعب کمپوست </c:v>
                  </c:pt>
                  <c:pt idx="461">
                    <c:v>تراسپلانت (30000) اصله نهال </c:v>
                  </c:pt>
                  <c:pt idx="462">
                    <c:v>مواد ،تجهیزات ،وسایل کاروروغنیات </c:v>
                  </c:pt>
                  <c:pt idx="464">
                    <c:v>اماده ساختن وپلات بندی (6 )جریب زمین </c:v>
                  </c:pt>
                  <c:pt idx="465">
                    <c:v>بذرساحه یک جریب زمین درساحه آذاد</c:v>
                  </c:pt>
                  <c:pt idx="466">
                    <c:v>پرکاری (20000) خریطه پلاستیکی وبذرآن</c:v>
                  </c:pt>
                  <c:pt idx="467">
                    <c:v>خیشاوه کتمن کاری (6) جریب زمین برای 3 مرتبه </c:v>
                  </c:pt>
                  <c:pt idx="468">
                    <c:v>پاککاری جوی ها بطول (300) متر</c:v>
                  </c:pt>
                  <c:pt idx="469">
                    <c:v>تهیه(20) مترمکعب کمپوست </c:v>
                  </c:pt>
                  <c:pt idx="470">
                    <c:v>تراسپلانت (15000) اصله نهال </c:v>
                  </c:pt>
                  <c:pt idx="471">
                    <c:v>مواد ،تجهیزات ،وسایل کاروروغنیات </c:v>
                  </c:pt>
                  <c:pt idx="473">
                    <c:v>آماده ساختن وپلات بندی6جریب زمین </c:v>
                  </c:pt>
                  <c:pt idx="474">
                    <c:v>خیشاوه کتمن کاری (5) جریب زمین برای 3 مرتبه </c:v>
                  </c:pt>
                  <c:pt idx="475">
                    <c:v>پاککاری جوی ها بطول (350) متر</c:v>
                  </c:pt>
                  <c:pt idx="476">
                    <c:v>تهیه(15) مترمکعب کمپوست </c:v>
                  </c:pt>
                  <c:pt idx="477">
                    <c:v>تراسپلانت (10000) اصله نهال </c:v>
                  </c:pt>
                  <c:pt idx="478">
                    <c:v>بذرساحه یک جریب زمین درساحه آذاد</c:v>
                  </c:pt>
                  <c:pt idx="479">
                    <c:v>مواد ،تجهیزات ،وسایل کاروروغنیات </c:v>
                  </c:pt>
                  <c:pt idx="481">
                    <c:v>آماده ساختن وپلات بندی10جریب زمین </c:v>
                  </c:pt>
                  <c:pt idx="482">
                    <c:v>خیشاوه کتمن کاری (6) جریب زمین برای 3 مرتبه </c:v>
                  </c:pt>
                  <c:pt idx="483">
                    <c:v>پاککاری جوی ها بطول (300) متر</c:v>
                  </c:pt>
                  <c:pt idx="484">
                    <c:v>تهیه(15) مترمکعب کمپوست </c:v>
                  </c:pt>
                  <c:pt idx="485">
                    <c:v>تراسپلانت (12000) اصله نهال </c:v>
                  </c:pt>
                  <c:pt idx="486">
                    <c:v>بذرساحه دو جریب زمین درساحه آذاد</c:v>
                  </c:pt>
                  <c:pt idx="487">
                    <c:v>مواد ،تجهیزات ،وسایل کاروروغنیات </c:v>
                  </c:pt>
                  <c:pt idx="489">
                    <c:v>آماده ساختن وپلات بندی8جریب زمین </c:v>
                  </c:pt>
                  <c:pt idx="490">
                    <c:v>خیشاوه کتمن کاری (6) جریب زمین برای 3 مرتبه </c:v>
                  </c:pt>
                  <c:pt idx="491">
                    <c:v>پاککاری جوی ها بطول (300) متر</c:v>
                  </c:pt>
                  <c:pt idx="492">
                    <c:v>تهیه(15) مترمکعب کمپوست </c:v>
                  </c:pt>
                  <c:pt idx="493">
                    <c:v>تراسپلانت (10000) اصله نهال </c:v>
                  </c:pt>
                  <c:pt idx="494">
                    <c:v>بذرساحه یک جریب زمین درساحه آذاد</c:v>
                  </c:pt>
                  <c:pt idx="495">
                    <c:v>مواد ،تجهیزات ،وسایل کاروروغنیات </c:v>
                  </c:pt>
                  <c:pt idx="497">
                    <c:v>آماده ساختن وپلات بندی15جریب زمین </c:v>
                  </c:pt>
                  <c:pt idx="498">
                    <c:v>خیشاوه کتمن کاری (5) جریب زمین برای 3 مرتبه </c:v>
                  </c:pt>
                  <c:pt idx="499">
                    <c:v>پاککاری جوی ها بطول (300) متر</c:v>
                  </c:pt>
                  <c:pt idx="500">
                    <c:v>تهیه(15) مترمکعب کمپوست </c:v>
                  </c:pt>
                  <c:pt idx="501">
                    <c:v>تراسپلانت (10000) اصله نهال </c:v>
                  </c:pt>
                  <c:pt idx="502">
                    <c:v>بذرساحه دو جریب زمین درساحه آذاد</c:v>
                  </c:pt>
                  <c:pt idx="503">
                    <c:v>مواد ،تجهیزات ،وسایل کاروروغنیات </c:v>
                  </c:pt>
                  <c:pt idx="505">
                    <c:v>آماده ساختن وپلات بندی15جریب زمین </c:v>
                  </c:pt>
                  <c:pt idx="506">
                    <c:v>بذرساحه دو جریب زمین درساحه آذاد</c:v>
                  </c:pt>
                  <c:pt idx="507">
                    <c:v>خیشاوه کتمن کاری (6) جریب زمین برای 3 مرتبه </c:v>
                  </c:pt>
                  <c:pt idx="508">
                    <c:v>پاککاری جوی ها بطول (350) متر</c:v>
                  </c:pt>
                  <c:pt idx="509">
                    <c:v>تهیه(15) مترمکعب کمپوست </c:v>
                  </c:pt>
                  <c:pt idx="510">
                    <c:v>تراسپلانت (20000) اصله نهال </c:v>
                  </c:pt>
                  <c:pt idx="511">
                    <c:v>مواد ،تجهیزات ،وسایل کاروروغنیات </c:v>
                  </c:pt>
                  <c:pt idx="513">
                    <c:v>آماده ساختن وپلات بندی 4 جریب زمین </c:v>
                  </c:pt>
                  <c:pt idx="514">
                    <c:v>خیشاوه کتمن کاری (2) جریب زمین برای 3 مرتبه </c:v>
                  </c:pt>
                  <c:pt idx="515">
                    <c:v>بذرساحه یک جریب زمین درساحه آذاد</c:v>
                  </c:pt>
                  <c:pt idx="516">
                    <c:v>پاککاری جوی ها بطول (300) متر</c:v>
                  </c:pt>
                  <c:pt idx="517">
                    <c:v>تهیه(10) مترمکعب کمپوست </c:v>
                  </c:pt>
                  <c:pt idx="518">
                    <c:v>مواد ،تجهیزات ،وسایل کاروروغنیات </c:v>
                  </c:pt>
                  <c:pt idx="520">
                    <c:v>آماده ساختن وپلات بندی 10جریب زمین </c:v>
                  </c:pt>
                  <c:pt idx="521">
                    <c:v>بذرساحه یک جریب زمین درساحه آذاد</c:v>
                  </c:pt>
                  <c:pt idx="522">
                    <c:v>خیشاوه کتمن کاری (6) جریب زمین برای 3 مرتبه </c:v>
                  </c:pt>
                  <c:pt idx="523">
                    <c:v>پاککاری جوی ها بطول (300) متر</c:v>
                  </c:pt>
                  <c:pt idx="524">
                    <c:v>تهیه(10) مترمکعب کمپوست </c:v>
                  </c:pt>
                  <c:pt idx="525">
                    <c:v>تراسپلانت (10000) اصله نهال </c:v>
                  </c:pt>
                  <c:pt idx="526">
                    <c:v>مواد ،تجهیزات ،وسایل کاروروغنیات </c:v>
                  </c:pt>
                  <c:pt idx="528">
                    <c:v>آماده ساختن وپلات بندی6.5 جریب زمین </c:v>
                  </c:pt>
                  <c:pt idx="529">
                    <c:v>بذرساحه یک جریب زمین درساحه آذاد</c:v>
                  </c:pt>
                  <c:pt idx="530">
                    <c:v>خیشاوه کتمن کاری (5) جریب زمین برای 3 مرتبه </c:v>
                  </c:pt>
                  <c:pt idx="531">
                    <c:v>پاککاری جوی ها بطول (333) متر</c:v>
                  </c:pt>
                  <c:pt idx="532">
                    <c:v>تهیه(20) مترمکعب کمپوست </c:v>
                  </c:pt>
                  <c:pt idx="533">
                    <c:v>تراسپلانت (11000) اصله نهال </c:v>
                  </c:pt>
                  <c:pt idx="534">
                    <c:v>مواد ،تجهیزات ،وسایل کاروروغنیات </c:v>
                  </c:pt>
                  <c:pt idx="538">
                    <c:v>محصول</c:v>
                  </c:pt>
                  <c:pt idx="539">
                    <c:v>موجودیت  صفا کار</c:v>
                  </c:pt>
                  <c:pt idx="540">
                    <c:v>موجودیت محافظین</c:v>
                  </c:pt>
                  <c:pt idx="541">
                    <c:v>موجودیت پیاده رو سنگفرش و پخته</c:v>
                  </c:pt>
                  <c:pt idx="542">
                    <c:v>موجودیت آب در کمپلکس</c:v>
                  </c:pt>
                  <c:pt idx="544">
                    <c:v>محصول</c:v>
                  </c:pt>
                  <c:pt idx="545">
                    <c:v>موجودیت سوپروایزر</c:v>
                  </c:pt>
                  <c:pt idx="546">
                    <c:v>موجودیت محافظین</c:v>
                  </c:pt>
                  <c:pt idx="548">
                    <c:v>محصول</c:v>
                  </c:pt>
                  <c:pt idx="549">
                    <c:v>موجودیت محافظین</c:v>
                  </c:pt>
                  <c:pt idx="553">
                    <c:v>تمدید قرارداد 1 نفر متخصص مدیریت تغیر   منابع طبیعی</c:v>
                  </c:pt>
                  <c:pt idx="554">
                    <c:v>مصارف اداری، نظارت، ارزیابی ومصارف احتمالی </c:v>
                  </c:pt>
                  <c:pt idx="557">
                    <c:v>قیمت  هربخش  به افغانی </c:v>
                  </c:pt>
                  <c:pt idx="558">
                    <c:v> 13,770,000 </c:v>
                  </c:pt>
                  <c:pt idx="559">
                    <c:v> 17,808,821 </c:v>
                  </c:pt>
                  <c:pt idx="560">
                    <c:v> 26,601,968 </c:v>
                  </c:pt>
                  <c:pt idx="561">
                    <c:v> 7,828,100 </c:v>
                  </c:pt>
                  <c:pt idx="562">
                    <c:v> 2,331,110 </c:v>
                  </c:pt>
                  <c:pt idx="563">
                    <c:v> 68,340,000 </c:v>
                  </c:pt>
                  <c:pt idx="576">
                    <c:v>تصدیق کننده</c:v>
                  </c:pt>
                  <c:pt idx="577">
                    <c:v> انجنیر فهیم الله ضیائی  </c:v>
                  </c:pt>
                  <c:pt idx="578">
                    <c:v>معین آبیاری ومنابع طبیعی </c:v>
                  </c:pt>
                </c:lvl>
                <c:lvl>
                  <c:pt idx="2">
                    <c:v>قریه</c:v>
                  </c:pt>
                  <c:pt idx="8">
                    <c:v>قریه</c:v>
                  </c:pt>
                  <c:pt idx="9">
                    <c:v>ده برنج ،خارستانلامان  </c:v>
                  </c:pt>
                  <c:pt idx="13">
                    <c:v>قریه</c:v>
                  </c:pt>
                  <c:pt idx="14">
                    <c:v>بادام دره ، خطایان ،جوی شیخ وقبر قاضی </c:v>
                  </c:pt>
                  <c:pt idx="19">
                    <c:v>قریه</c:v>
                  </c:pt>
                  <c:pt idx="24">
                    <c:v>قریه</c:v>
                  </c:pt>
                  <c:pt idx="25">
                    <c:v>حضرت سلطان </c:v>
                  </c:pt>
                  <c:pt idx="29">
                    <c:v>قریه</c:v>
                  </c:pt>
                  <c:pt idx="33">
                    <c:v>قریه</c:v>
                  </c:pt>
                  <c:pt idx="37">
                    <c:v>قریه</c:v>
                  </c:pt>
                  <c:pt idx="41">
                    <c:v>قریه</c:v>
                  </c:pt>
                  <c:pt idx="47">
                    <c:v>قریه</c:v>
                  </c:pt>
                  <c:pt idx="54">
                    <c:v>قریه</c:v>
                  </c:pt>
                  <c:pt idx="55">
                    <c:v>روی دره ،کرامان وآب دره </c:v>
                  </c:pt>
                  <c:pt idx="59">
                    <c:v>قریه</c:v>
                  </c:pt>
                  <c:pt idx="64">
                    <c:v>قریه</c:v>
                  </c:pt>
                  <c:pt idx="70">
                    <c:v>قریه</c:v>
                  </c:pt>
                  <c:pt idx="72">
                    <c:v>دره قاق وتنگانی </c:v>
                  </c:pt>
                  <c:pt idx="86">
                    <c:v>قریه</c:v>
                  </c:pt>
                  <c:pt idx="87">
                    <c:v>بوزارق</c:v>
                  </c:pt>
                  <c:pt idx="114">
                    <c:v>قریه</c:v>
                  </c:pt>
                  <c:pt idx="115">
                    <c:v>دشت امرود</c:v>
                  </c:pt>
                  <c:pt idx="129">
                    <c:v>قریه</c:v>
                  </c:pt>
                  <c:pt idx="157">
                    <c:v>قریه</c:v>
                  </c:pt>
                  <c:pt idx="158">
                    <c:v>حضرت سلطان ، دره شرق </c:v>
                  </c:pt>
                  <c:pt idx="172">
                    <c:v>قریه</c:v>
                  </c:pt>
                  <c:pt idx="173">
                    <c:v>بهائی ,بخارا، وسبزناله
</c:v>
                  </c:pt>
                  <c:pt idx="180">
                    <c:v>قریه</c:v>
                  </c:pt>
                  <c:pt idx="181">
                    <c:v>کاسی ،تیل بای، نظر،دهن قره باغی  </c:v>
                  </c:pt>
                  <c:pt idx="187">
                    <c:v>قریه</c:v>
                  </c:pt>
                  <c:pt idx="216">
                    <c:v>قریه</c:v>
                  </c:pt>
                  <c:pt idx="217">
                    <c:v>تورغندی وشه بخش</c:v>
                  </c:pt>
                  <c:pt idx="237">
                    <c:v>قریه</c:v>
                  </c:pt>
                  <c:pt idx="245">
                    <c:v>قریه</c:v>
                  </c:pt>
                  <c:pt idx="253">
                    <c:v>قریه</c:v>
                  </c:pt>
                  <c:pt idx="254">
                    <c:v>وریاچ</c:v>
                  </c:pt>
                  <c:pt idx="261">
                    <c:v>قریه</c:v>
                  </c:pt>
                  <c:pt idx="269">
                    <c:v>قریه</c:v>
                  </c:pt>
                  <c:pt idx="270">
                    <c:v>جوییخ وقبر قاضی </c:v>
                  </c:pt>
                  <c:pt idx="283">
                    <c:v>قریه</c:v>
                  </c:pt>
                  <c:pt idx="284">
                    <c:v>قرغن تو، وقریجا وسولای سه گانه</c:v>
                  </c:pt>
                  <c:pt idx="302">
                    <c:v>قریه</c:v>
                  </c:pt>
                  <c:pt idx="303">
                    <c:v>عقب ولسوالی </c:v>
                  </c:pt>
                  <c:pt idx="311">
                    <c:v>مرکز باغ جبل السراج</c:v>
                  </c:pt>
                  <c:pt idx="319">
                    <c:v>شوخی </c:v>
                  </c:pt>
                  <c:pt idx="327">
                    <c:v>دشت توپ</c:v>
                  </c:pt>
                  <c:pt idx="334">
                    <c:v>مره لاق ودشتک </c:v>
                  </c:pt>
                  <c:pt idx="342">
                    <c:v>شش پل</c:v>
                  </c:pt>
                  <c:pt idx="348">
                    <c:v>ده هدادی</c:v>
                  </c:pt>
                  <c:pt idx="357">
                    <c:v>تاشلی گذر</c:v>
                  </c:pt>
                  <c:pt idx="365">
                    <c:v>جنگل باغ شبرغان</c:v>
                  </c:pt>
                  <c:pt idx="373">
                    <c:v>کارته مامورین </c:v>
                  </c:pt>
                  <c:pt idx="382">
                    <c:v>جنگل باغ</c:v>
                  </c:pt>
                  <c:pt idx="390">
                    <c:v>باغ تیره </c:v>
                  </c:pt>
                  <c:pt idx="398">
                    <c:v>جنگل باغ </c:v>
                  </c:pt>
                  <c:pt idx="408">
                    <c:v>مرکز</c:v>
                  </c:pt>
                  <c:pt idx="416">
                    <c:v>مرکز ولسوالی </c:v>
                  </c:pt>
                  <c:pt idx="423">
                    <c:v>ولسوالی بهسود وفارم جدید </c:v>
                  </c:pt>
                  <c:pt idx="439">
                    <c:v>باغ قلعه سراج </c:v>
                  </c:pt>
                  <c:pt idx="447">
                    <c:v>مندکول</c:v>
                  </c:pt>
                  <c:pt idx="456">
                    <c:v>جنگل باغ پل پشتو</c:v>
                  </c:pt>
                  <c:pt idx="464">
                    <c:v>جنگل باغ شمالی</c:v>
                  </c:pt>
                  <c:pt idx="473">
                    <c:v>مرکز</c:v>
                  </c:pt>
                  <c:pt idx="481">
                    <c:v>فارم شگوفان </c:v>
                  </c:pt>
                  <c:pt idx="489">
                    <c:v>مرکز ولسوالی </c:v>
                  </c:pt>
                  <c:pt idx="497">
                    <c:v>باغ اختر</c:v>
                  </c:pt>
                  <c:pt idx="505">
                    <c:v>جنگل باغ  تالقان وچاه عمیق </c:v>
                  </c:pt>
                  <c:pt idx="513">
                    <c:v>مرکزترویجی</c:v>
                  </c:pt>
                  <c:pt idx="520">
                    <c:v>مرکز</c:v>
                  </c:pt>
                  <c:pt idx="528">
                    <c:v>مرکز</c:v>
                  </c:pt>
                  <c:pt idx="538">
                    <c:v>قریه</c:v>
                  </c:pt>
                  <c:pt idx="539">
                    <c:v>بند امیر</c:v>
                  </c:pt>
                  <c:pt idx="540">
                    <c:v>بند امیر</c:v>
                  </c:pt>
                  <c:pt idx="541">
                    <c:v>بند امیر</c:v>
                  </c:pt>
                  <c:pt idx="542">
                    <c:v>بند امیر</c:v>
                  </c:pt>
                  <c:pt idx="544">
                    <c:v>قریه</c:v>
                  </c:pt>
                  <c:pt idx="545">
                    <c:v>پارک ملی واخان</c:v>
                  </c:pt>
                  <c:pt idx="546">
                    <c:v>پارک ملی واخان</c:v>
                  </c:pt>
                  <c:pt idx="548">
                    <c:v>قریه</c:v>
                  </c:pt>
                  <c:pt idx="549">
                    <c:v>کول حشمت خان</c:v>
                  </c:pt>
                  <c:pt idx="553">
                    <c:v>مرکز </c:v>
                  </c:pt>
                  <c:pt idx="554">
                    <c:v>مرکز </c:v>
                  </c:pt>
                  <c:pt idx="565">
                    <c:v>وظیفه</c:v>
                  </c:pt>
                  <c:pt idx="566">
                    <c:v>امرتنظیم جنگلات وابریزه ها </c:v>
                  </c:pt>
                  <c:pt idx="567">
                    <c:v>امر احیا وتوسعه جنگلات </c:v>
                  </c:pt>
                  <c:pt idx="568">
                    <c:v>امرتنظیم علفچرها </c:v>
                  </c:pt>
                  <c:pt idx="569">
                    <c:v>مدیر پارک های ملی</c:v>
                  </c:pt>
                  <c:pt idx="571">
                    <c:v>رئیس جنگلات</c:v>
                  </c:pt>
                  <c:pt idx="572">
                    <c:v>رئیس علفچر ها</c:v>
                  </c:pt>
                  <c:pt idx="573">
                    <c:v>رئیس ساحات حفاظت شده </c:v>
                  </c:pt>
                  <c:pt idx="575">
                    <c:v>مدیر عمومی پلان و هماهنگی پروژه ها</c:v>
                  </c:pt>
                </c:lvl>
                <c:lvl>
                  <c:pt idx="2">
                    <c:v>ولسوالی</c:v>
                  </c:pt>
                  <c:pt idx="4">
                    <c:v>کشک کهنه </c:v>
                  </c:pt>
                  <c:pt idx="8">
                    <c:v>ولسوالی</c:v>
                  </c:pt>
                  <c:pt idx="9">
                    <c:v>قادس ،مقر مرکز </c:v>
                  </c:pt>
                  <c:pt idx="13">
                    <c:v>ولسوالی</c:v>
                  </c:pt>
                  <c:pt idx="14">
                    <c:v>نمک آب وبهارک </c:v>
                  </c:pt>
                  <c:pt idx="19">
                    <c:v>ولسوالی</c:v>
                  </c:pt>
                  <c:pt idx="20">
                    <c:v>ارگو، درایم</c:v>
                  </c:pt>
                  <c:pt idx="24">
                    <c:v>ولسوالی</c:v>
                  </c:pt>
                  <c:pt idx="25">
                    <c:v>مرکز </c:v>
                  </c:pt>
                  <c:pt idx="29">
                    <c:v>ولسوالی</c:v>
                  </c:pt>
                  <c:pt idx="30">
                    <c:v>مرکز</c:v>
                  </c:pt>
                  <c:pt idx="33">
                    <c:v>ولسوالی</c:v>
                  </c:pt>
                  <c:pt idx="34">
                    <c:v>مرکز</c:v>
                  </c:pt>
                  <c:pt idx="37">
                    <c:v>ولسوالی</c:v>
                  </c:pt>
                  <c:pt idx="38">
                    <c:v>مرکز </c:v>
                  </c:pt>
                  <c:pt idx="41">
                    <c:v>ولسوالی</c:v>
                  </c:pt>
                  <c:pt idx="42">
                    <c:v>ازره </c:v>
                  </c:pt>
                  <c:pt idx="47">
                    <c:v>ولسوالی</c:v>
                  </c:pt>
                  <c:pt idx="48">
                    <c:v>مانوگی، وته پور، و دانگام </c:v>
                  </c:pt>
                  <c:pt idx="54">
                    <c:v>ولسوالی</c:v>
                  </c:pt>
                  <c:pt idx="55">
                    <c:v>شتل ، دره وعنابه </c:v>
                  </c:pt>
                  <c:pt idx="59">
                    <c:v>ولسوالی</c:v>
                  </c:pt>
                  <c:pt idx="60">
                    <c:v>مرکز </c:v>
                  </c:pt>
                  <c:pt idx="64">
                    <c:v>ولسوالی</c:v>
                  </c:pt>
                  <c:pt idx="65">
                    <c:v>مرکز</c:v>
                  </c:pt>
                  <c:pt idx="70">
                    <c:v>ولسوالی</c:v>
                  </c:pt>
                  <c:pt idx="72">
                    <c:v>درایم وکشکان</c:v>
                  </c:pt>
                  <c:pt idx="86">
                    <c:v>ولسوالی</c:v>
                  </c:pt>
                  <c:pt idx="87">
                    <c:v>شورتپه ،چمتال، دهداتی</c:v>
                  </c:pt>
                  <c:pt idx="114">
                    <c:v>ولسوالی</c:v>
                  </c:pt>
                  <c:pt idx="115">
                    <c:v>خنجان </c:v>
                  </c:pt>
                  <c:pt idx="129">
                    <c:v>ولسوالی</c:v>
                  </c:pt>
                  <c:pt idx="130">
                    <c:v>مرکز ، قرقین </c:v>
                  </c:pt>
                  <c:pt idx="157">
                    <c:v>ولسوالی</c:v>
                  </c:pt>
                  <c:pt idx="158">
                    <c:v>مرکز، خرم سارباغ،حضرت سلطان </c:v>
                  </c:pt>
                  <c:pt idx="172">
                    <c:v>ولسوالی</c:v>
                  </c:pt>
                  <c:pt idx="173">
                    <c:v>ناهور</c:v>
                  </c:pt>
                  <c:pt idx="180">
                    <c:v>ولسوالی</c:v>
                  </c:pt>
                  <c:pt idx="181">
                    <c:v>مرکز, دولتیارولعل </c:v>
                  </c:pt>
                  <c:pt idx="187">
                    <c:v>ولسوالی</c:v>
                  </c:pt>
                  <c:pt idx="188">
                    <c:v>اندخوی</c:v>
                  </c:pt>
                  <c:pt idx="216">
                    <c:v>ولسوالی</c:v>
                  </c:pt>
                  <c:pt idx="217">
                    <c:v>غوریان وربات سنگی </c:v>
                  </c:pt>
                  <c:pt idx="237">
                    <c:v>ولسوالی</c:v>
                  </c:pt>
                  <c:pt idx="238">
                    <c:v>قلعه نو </c:v>
                  </c:pt>
                  <c:pt idx="245">
                    <c:v>ولسوالی</c:v>
                  </c:pt>
                  <c:pt idx="246">
                    <c:v>خدر وسنگ تخت </c:v>
                  </c:pt>
                  <c:pt idx="253">
                    <c:v>ولسوالی</c:v>
                  </c:pt>
                  <c:pt idx="254">
                    <c:v> پریان </c:v>
                  </c:pt>
                  <c:pt idx="261">
                    <c:v>ولسوالی</c:v>
                  </c:pt>
                  <c:pt idx="262">
                    <c:v>حصله اول بهسود</c:v>
                  </c:pt>
                  <c:pt idx="269">
                    <c:v>ولسوالی</c:v>
                  </c:pt>
                  <c:pt idx="270">
                    <c:v>مرکز </c:v>
                  </c:pt>
                  <c:pt idx="283">
                    <c:v>ولسوالی</c:v>
                  </c:pt>
                  <c:pt idx="284">
                    <c:v> مرکز ،سیغان،ورس وکه مرد</c:v>
                  </c:pt>
                  <c:pt idx="297">
                    <c:v>مرکز</c:v>
                  </c:pt>
                  <c:pt idx="302">
                    <c:v>ولسوالی</c:v>
                  </c:pt>
                  <c:pt idx="303">
                    <c:v>استالف </c:v>
                  </c:pt>
                  <c:pt idx="311">
                    <c:v>ولسوالی جبل السراج </c:v>
                  </c:pt>
                  <c:pt idx="319">
                    <c:v>مرکز</c:v>
                  </c:pt>
                  <c:pt idx="327">
                    <c:v>ولسوالی سید آباد</c:v>
                  </c:pt>
                  <c:pt idx="334">
                    <c:v>رخه ومرکز </c:v>
                  </c:pt>
                  <c:pt idx="342">
                    <c:v>مرکز </c:v>
                  </c:pt>
                  <c:pt idx="348">
                    <c:v>مرکز ولسوالی بلخ </c:v>
                  </c:pt>
                  <c:pt idx="357">
                    <c:v>مرکز </c:v>
                  </c:pt>
                  <c:pt idx="365">
                    <c:v>مرکز</c:v>
                  </c:pt>
                  <c:pt idx="373">
                    <c:v>مرکز </c:v>
                  </c:pt>
                  <c:pt idx="382">
                    <c:v>مرکز </c:v>
                  </c:pt>
                  <c:pt idx="390">
                    <c:v>مرکز</c:v>
                  </c:pt>
                  <c:pt idx="398">
                    <c:v>مرکز</c:v>
                  </c:pt>
                  <c:pt idx="408">
                    <c:v>مرکز </c:v>
                  </c:pt>
                  <c:pt idx="416">
                    <c:v>تنی </c:v>
                  </c:pt>
                  <c:pt idx="423">
                    <c:v>ولسوالی بهسود وفارم جدید </c:v>
                  </c:pt>
                  <c:pt idx="439">
                    <c:v>مرکز </c:v>
                  </c:pt>
                  <c:pt idx="447">
                    <c:v>مرکز </c:v>
                  </c:pt>
                  <c:pt idx="456">
                    <c:v>گذره </c:v>
                  </c:pt>
                  <c:pt idx="464">
                    <c:v>مرکز</c:v>
                  </c:pt>
                  <c:pt idx="473">
                    <c:v>مرکز </c:v>
                  </c:pt>
                  <c:pt idx="481">
                    <c:v>مرکز </c:v>
                  </c:pt>
                  <c:pt idx="489">
                    <c:v>کشم </c:v>
                  </c:pt>
                  <c:pt idx="497">
                    <c:v>بغلان جدید </c:v>
                  </c:pt>
                  <c:pt idx="505">
                    <c:v>مرکز</c:v>
                  </c:pt>
                  <c:pt idx="513">
                    <c:v>ژیری</c:v>
                  </c:pt>
                  <c:pt idx="520">
                    <c:v>مرکز</c:v>
                  </c:pt>
                  <c:pt idx="528">
                    <c:v>شهرستان  </c:v>
                  </c:pt>
                  <c:pt idx="538">
                    <c:v>ولسوالی</c:v>
                  </c:pt>
                  <c:pt idx="539">
                    <c:v>یکاولنگ</c:v>
                  </c:pt>
                  <c:pt idx="540">
                    <c:v>یکاولنگ</c:v>
                  </c:pt>
                  <c:pt idx="541">
                    <c:v>یکاولنگ</c:v>
                  </c:pt>
                  <c:pt idx="542">
                    <c:v>یکاولنگ</c:v>
                  </c:pt>
                  <c:pt idx="543">
                    <c:v>مجموع فرعی </c:v>
                  </c:pt>
                  <c:pt idx="544">
                    <c:v>ولسوالی</c:v>
                  </c:pt>
                  <c:pt idx="545">
                    <c:v>واخان</c:v>
                  </c:pt>
                  <c:pt idx="546">
                    <c:v>واخان</c:v>
                  </c:pt>
                  <c:pt idx="547">
                    <c:v>مجموع فرعی </c:v>
                  </c:pt>
                  <c:pt idx="548">
                    <c:v>ولسوالی</c:v>
                  </c:pt>
                  <c:pt idx="549">
                    <c:v>بگرامی</c:v>
                  </c:pt>
                  <c:pt idx="550">
                    <c:v>مجموع فرعی </c:v>
                  </c:pt>
                  <c:pt idx="553">
                    <c:v>مرکز </c:v>
                  </c:pt>
                  <c:pt idx="554">
                    <c:v>مرکز </c:v>
                  </c:pt>
                  <c:pt idx="555">
                    <c:v>مجموع فرعی </c:v>
                  </c:pt>
                  <c:pt idx="558">
                    <c:v>احیاء و حفاظت جنگلات، تنظیم آبریزه ها زنجیره ارزش افزایی محصولات</c:v>
                  </c:pt>
                  <c:pt idx="559">
                    <c:v>تنظیم همه جانبه علفچر ها و نباتات طبی</c:v>
                  </c:pt>
                  <c:pt idx="560">
                    <c:v>احیای فارم ها و جنگل باغ ها غرض گسترش فضای سبز</c:v>
                  </c:pt>
                  <c:pt idx="561">
                    <c:v>انکشاف ایکوسیستم های طبیعی با ارزش</c:v>
                  </c:pt>
                  <c:pt idx="562">
                    <c:v>  معاش 2 نفر متخصص ،نظارت ،ارزیابی  از فعالیت های برنامه  ملی منابع طبیعی ومصارف احتمالی </c:v>
                  </c:pt>
                  <c:pt idx="566">
                    <c:v> سید امین الله فخری </c:v>
                  </c:pt>
                  <c:pt idx="567">
                    <c:v>احمد شاه امرخیل </c:v>
                  </c:pt>
                  <c:pt idx="568">
                    <c:v>غلام دستگیر سروری </c:v>
                  </c:pt>
                  <c:pt idx="569">
                    <c:v>عبدالقیوم پاینده</c:v>
                  </c:pt>
                  <c:pt idx="571">
                    <c:v>محمد امان امانیار</c:v>
                  </c:pt>
                  <c:pt idx="572">
                    <c:v>انجنیر محمد عارف حسینی</c:v>
                  </c:pt>
                  <c:pt idx="573">
                    <c:v>سید رحمن زیارمل </c:v>
                  </c:pt>
                  <c:pt idx="575">
                    <c:v>رفاع الدین امینی</c:v>
                  </c:pt>
                  <c:pt idx="576">
                    <c:v>تصدیق کننده</c:v>
                  </c:pt>
                  <c:pt idx="577">
                    <c:v>محمد رفیع قاضی زاده</c:v>
                  </c:pt>
                  <c:pt idx="578">
                    <c:v>رئیس عمومی منابع طبیعی</c:v>
                  </c:pt>
                </c:lvl>
                <c:lvl>
                  <c:pt idx="0">
                    <c:v>ضمیمه 3: پلان کاری سالانه برنامه برای سال 1397</c:v>
                  </c:pt>
                  <c:pt idx="1">
                    <c:v>الف: احیاء و حفاظت جنگلات، تنظیم آبریزه ها و زنجیره ارزش افزایی محصولات جنگل</c:v>
                  </c:pt>
                  <c:pt idx="2">
                    <c:v>ولایات</c:v>
                  </c:pt>
                  <c:pt idx="4">
                    <c:v>هرات </c:v>
                  </c:pt>
                  <c:pt idx="7">
                    <c:v>مجموع فرعی </c:v>
                  </c:pt>
                  <c:pt idx="8">
                    <c:v>ولایات</c:v>
                  </c:pt>
                  <c:pt idx="9">
                    <c:v>بادغیس </c:v>
                  </c:pt>
                  <c:pt idx="12">
                    <c:v>مجموع فرعی </c:v>
                  </c:pt>
                  <c:pt idx="13">
                    <c:v>ولایات</c:v>
                  </c:pt>
                  <c:pt idx="14">
                    <c:v>تخار </c:v>
                  </c:pt>
                  <c:pt idx="18">
                    <c:v>مجموع فرعی </c:v>
                  </c:pt>
                  <c:pt idx="19">
                    <c:v>ولایات</c:v>
                  </c:pt>
                  <c:pt idx="20">
                    <c:v>بدخشان </c:v>
                  </c:pt>
                  <c:pt idx="23">
                    <c:v>مجموع فرعی </c:v>
                  </c:pt>
                  <c:pt idx="24">
                    <c:v>ولایات</c:v>
                  </c:pt>
                  <c:pt idx="25">
                    <c:v>سمنگان </c:v>
                  </c:pt>
                  <c:pt idx="28">
                    <c:v>مجموع فرعی </c:v>
                  </c:pt>
                  <c:pt idx="29">
                    <c:v>ولایات</c:v>
                  </c:pt>
                  <c:pt idx="30">
                    <c:v>پکتیا </c:v>
                  </c:pt>
                  <c:pt idx="32">
                    <c:v>مجموع فرعی </c:v>
                  </c:pt>
                  <c:pt idx="33">
                    <c:v>ولایات</c:v>
                  </c:pt>
                  <c:pt idx="34">
                    <c:v>پکتیکا </c:v>
                  </c:pt>
                  <c:pt idx="36">
                    <c:v>مجموع فرعی </c:v>
                  </c:pt>
                  <c:pt idx="37">
                    <c:v>ولایات</c:v>
                  </c:pt>
                  <c:pt idx="38">
                    <c:v>خوست </c:v>
                  </c:pt>
                  <c:pt idx="40">
                    <c:v>مجموع فرعی </c:v>
                  </c:pt>
                  <c:pt idx="41">
                    <c:v>ولایات</c:v>
                  </c:pt>
                  <c:pt idx="42">
                    <c:v>لوگر </c:v>
                  </c:pt>
                  <c:pt idx="46">
                    <c:v>مجموع فرعی </c:v>
                  </c:pt>
                  <c:pt idx="47">
                    <c:v>ولایات</c:v>
                  </c:pt>
                  <c:pt idx="48">
                    <c:v>کنر </c:v>
                  </c:pt>
                  <c:pt idx="53">
                    <c:v>مجموع فرعی </c:v>
                  </c:pt>
                  <c:pt idx="54">
                    <c:v>ولایات</c:v>
                  </c:pt>
                  <c:pt idx="55">
                    <c:v>پنجشیر </c:v>
                  </c:pt>
                  <c:pt idx="58">
                    <c:v>مجموع فرعی </c:v>
                  </c:pt>
                  <c:pt idx="59">
                    <c:v>ولایات</c:v>
                  </c:pt>
                  <c:pt idx="60">
                    <c:v>دایکندی </c:v>
                  </c:pt>
                  <c:pt idx="63">
                    <c:v>مجموع فرعی </c:v>
                  </c:pt>
                  <c:pt idx="64">
                    <c:v>ولایات</c:v>
                  </c:pt>
                  <c:pt idx="65">
                    <c:v>مرکز </c:v>
                  </c:pt>
                  <c:pt idx="67">
                    <c:v>مجموع فرعی </c:v>
                  </c:pt>
                  <c:pt idx="68">
                    <c:v>مجموعی عمومی تنظیم جنگلات و آبریزه ها</c:v>
                  </c:pt>
                  <c:pt idx="69">
                    <c:v>ج : تنظیم همه جانبه علفچر ونباتات طبی سال 1397</c:v>
                  </c:pt>
                  <c:pt idx="70">
                    <c:v>ولایت</c:v>
                  </c:pt>
                  <c:pt idx="72">
                    <c:v>بدخشان</c:v>
                  </c:pt>
                  <c:pt idx="85">
                    <c:v>مجموع </c:v>
                  </c:pt>
                  <c:pt idx="86">
                    <c:v>ولایات</c:v>
                  </c:pt>
                  <c:pt idx="87">
                    <c:v>بلخ</c:v>
                  </c:pt>
                  <c:pt idx="113">
                    <c:v>مجموع </c:v>
                  </c:pt>
                  <c:pt idx="114">
                    <c:v>ولایات</c:v>
                  </c:pt>
                  <c:pt idx="115">
                    <c:v>بغلان</c:v>
                  </c:pt>
                  <c:pt idx="128">
                    <c:v>مجموع </c:v>
                  </c:pt>
                  <c:pt idx="129">
                    <c:v>ولایات</c:v>
                  </c:pt>
                  <c:pt idx="130">
                    <c:v>جوزجان</c:v>
                  </c:pt>
                  <c:pt idx="156">
                    <c:v>مجموع </c:v>
                  </c:pt>
                  <c:pt idx="157">
                    <c:v>ولایات</c:v>
                  </c:pt>
                  <c:pt idx="158">
                    <c:v>سمنگان</c:v>
                  </c:pt>
                  <c:pt idx="171">
                    <c:v>مجموع </c:v>
                  </c:pt>
                  <c:pt idx="172">
                    <c:v>ولایات</c:v>
                  </c:pt>
                  <c:pt idx="173">
                    <c:v>غزنی</c:v>
                  </c:pt>
                  <c:pt idx="179">
                    <c:v>مجموع </c:v>
                  </c:pt>
                  <c:pt idx="180">
                    <c:v>ولایات</c:v>
                  </c:pt>
                  <c:pt idx="181">
                    <c:v>غور</c:v>
                  </c:pt>
                  <c:pt idx="186">
                    <c:v>مجموع </c:v>
                  </c:pt>
                  <c:pt idx="187">
                    <c:v>ولایات</c:v>
                  </c:pt>
                  <c:pt idx="188">
                    <c:v>فاریاب </c:v>
                  </c:pt>
                  <c:pt idx="215">
                    <c:v>مجموع </c:v>
                  </c:pt>
                  <c:pt idx="216">
                    <c:v>ولایات</c:v>
                  </c:pt>
                  <c:pt idx="217">
                    <c:v>هرات </c:v>
                  </c:pt>
                  <c:pt idx="236">
                    <c:v>مجموع </c:v>
                  </c:pt>
                  <c:pt idx="237">
                    <c:v>ولایات</c:v>
                  </c:pt>
                  <c:pt idx="238">
                    <c:v>بادغیس</c:v>
                  </c:pt>
                  <c:pt idx="244">
                    <c:v>مجموع </c:v>
                  </c:pt>
                  <c:pt idx="245">
                    <c:v>ولایات</c:v>
                  </c:pt>
                  <c:pt idx="246">
                    <c:v>دایکندی</c:v>
                  </c:pt>
                  <c:pt idx="252">
                    <c:v>مجموع </c:v>
                  </c:pt>
                  <c:pt idx="253">
                    <c:v>ولایات</c:v>
                  </c:pt>
                  <c:pt idx="254">
                    <c:v>پنجشیر</c:v>
                  </c:pt>
                  <c:pt idx="260">
                    <c:v>مجموع </c:v>
                  </c:pt>
                  <c:pt idx="261">
                    <c:v>ولایات</c:v>
                  </c:pt>
                  <c:pt idx="262">
                    <c:v>میدان وردگ</c:v>
                  </c:pt>
                  <c:pt idx="268">
                    <c:v>مجموع </c:v>
                  </c:pt>
                  <c:pt idx="269">
                    <c:v>ولایات</c:v>
                  </c:pt>
                  <c:pt idx="270">
                    <c:v>تخار</c:v>
                  </c:pt>
                  <c:pt idx="282">
                    <c:v>مجموع </c:v>
                  </c:pt>
                  <c:pt idx="283">
                    <c:v>ولایات</c:v>
                  </c:pt>
                  <c:pt idx="284">
                    <c:v>بامیان</c:v>
                  </c:pt>
                  <c:pt idx="296">
                    <c:v>مجموع فرعی</c:v>
                  </c:pt>
                  <c:pt idx="297">
                    <c:v>مرکز </c:v>
                  </c:pt>
                  <c:pt idx="299">
                    <c:v>مجموع فرعی</c:v>
                  </c:pt>
                  <c:pt idx="300">
                    <c:v>مجموع بودجه بخش تنظیم علفچر ها و نباتات طبی</c:v>
                  </c:pt>
                  <c:pt idx="301">
                    <c:v>  ج : احیای فارم ها و جنگل باغ ها غرض گسترش فضای سبز</c:v>
                  </c:pt>
                  <c:pt idx="302">
                    <c:v>ولایات</c:v>
                  </c:pt>
                  <c:pt idx="303">
                    <c:v>کابل </c:v>
                  </c:pt>
                  <c:pt idx="310">
                    <c:v>مجموعی فرعی</c:v>
                  </c:pt>
                  <c:pt idx="311">
                    <c:v>پروان </c:v>
                  </c:pt>
                  <c:pt idx="318">
                    <c:v>مجموعی فرعی</c:v>
                  </c:pt>
                  <c:pt idx="319">
                    <c:v>کاپیسا</c:v>
                  </c:pt>
                  <c:pt idx="326">
                    <c:v>مجموعی فرعی</c:v>
                  </c:pt>
                  <c:pt idx="327">
                    <c:v>میدان وردک</c:v>
                  </c:pt>
                  <c:pt idx="333">
                    <c:v>مجموعی فرعی</c:v>
                  </c:pt>
                  <c:pt idx="334">
                    <c:v>پنجشیر</c:v>
                  </c:pt>
                  <c:pt idx="341">
                    <c:v>مجموعی فرعی</c:v>
                  </c:pt>
                  <c:pt idx="342">
                    <c:v>بامیان</c:v>
                  </c:pt>
                  <c:pt idx="347">
                    <c:v>مجموعی فرعی</c:v>
                  </c:pt>
                  <c:pt idx="348">
                    <c:v>بلخ</c:v>
                  </c:pt>
                  <c:pt idx="356">
                    <c:v>مجموعی فرعی</c:v>
                  </c:pt>
                  <c:pt idx="357">
                    <c:v>فاریاب </c:v>
                  </c:pt>
                  <c:pt idx="364">
                    <c:v>مجموعی فرعی</c:v>
                  </c:pt>
                  <c:pt idx="365">
                    <c:v>جوزجان</c:v>
                  </c:pt>
                  <c:pt idx="372">
                    <c:v>مجموعی فرعی</c:v>
                  </c:pt>
                  <c:pt idx="373">
                    <c:v>سمنگان</c:v>
                  </c:pt>
                  <c:pt idx="381">
                    <c:v>مجموعی فرعی</c:v>
                  </c:pt>
                  <c:pt idx="382">
                    <c:v>سرپل</c:v>
                  </c:pt>
                  <c:pt idx="389">
                    <c:v>مجموعی فرعی</c:v>
                  </c:pt>
                  <c:pt idx="390">
                    <c:v>پکتیا</c:v>
                  </c:pt>
                  <c:pt idx="397">
                    <c:v>مجموعی فرعی</c:v>
                  </c:pt>
                  <c:pt idx="398">
                    <c:v>غزنی</c:v>
                  </c:pt>
                  <c:pt idx="407">
                    <c:v>مجموعی فرعی</c:v>
                  </c:pt>
                  <c:pt idx="408">
                    <c:v>پکتیکا</c:v>
                  </c:pt>
                  <c:pt idx="415">
                    <c:v>مجموعی فرعی</c:v>
                  </c:pt>
                  <c:pt idx="416">
                    <c:v>خوست </c:v>
                  </c:pt>
                  <c:pt idx="422">
                    <c:v>مجموعی فرعی</c:v>
                  </c:pt>
                  <c:pt idx="423">
                    <c:v>ننگرهار</c:v>
                  </c:pt>
                  <c:pt idx="438">
                    <c:v>مجموعی فرعی</c:v>
                  </c:pt>
                  <c:pt idx="439">
                    <c:v>لغمان </c:v>
                  </c:pt>
                  <c:pt idx="446">
                    <c:v>مجموعی فرعی</c:v>
                  </c:pt>
                  <c:pt idx="447">
                    <c:v>کنر</c:v>
                  </c:pt>
                  <c:pt idx="455">
                    <c:v>مجموعی فرعی</c:v>
                  </c:pt>
                  <c:pt idx="456">
                    <c:v>هرات</c:v>
                  </c:pt>
                  <c:pt idx="463">
                    <c:v>مجموعی فرعی</c:v>
                  </c:pt>
                  <c:pt idx="464">
                    <c:v>فراه</c:v>
                  </c:pt>
                  <c:pt idx="472">
                    <c:v>مجموعی فرعی</c:v>
                  </c:pt>
                  <c:pt idx="473">
                    <c:v>غور </c:v>
                  </c:pt>
                  <c:pt idx="480">
                    <c:v>مجموعی فرعی</c:v>
                  </c:pt>
                  <c:pt idx="481">
                    <c:v>بادغیس </c:v>
                  </c:pt>
                  <c:pt idx="488">
                    <c:v>مجموعی فرعی</c:v>
                  </c:pt>
                  <c:pt idx="489">
                    <c:v>بدخشان </c:v>
                  </c:pt>
                  <c:pt idx="496">
                    <c:v>مجموعی فرعی</c:v>
                  </c:pt>
                  <c:pt idx="497">
                    <c:v>بغلان </c:v>
                  </c:pt>
                  <c:pt idx="504">
                    <c:v>مجموعی فرعی</c:v>
                  </c:pt>
                  <c:pt idx="505">
                    <c:v>تخار</c:v>
                  </c:pt>
                  <c:pt idx="512">
                    <c:v>مجموعی فرعی</c:v>
                  </c:pt>
                  <c:pt idx="513">
                    <c:v>کند هار</c:v>
                  </c:pt>
                  <c:pt idx="519">
                    <c:v>مجموعی فرعی</c:v>
                  </c:pt>
                  <c:pt idx="520">
                    <c:v>هلمند</c:v>
                  </c:pt>
                  <c:pt idx="527">
                    <c:v>مجموعی فرعی</c:v>
                  </c:pt>
                  <c:pt idx="528">
                    <c:v>دایکندی</c:v>
                  </c:pt>
                  <c:pt idx="535">
                    <c:v>مجموعی فرعی</c:v>
                  </c:pt>
                  <c:pt idx="536">
                    <c:v>مجموع بودجه بخش احیای فارم ها و تولید نها</c:v>
                  </c:pt>
                  <c:pt idx="537">
                    <c:v>د :انکشاف ایکوسیستم های با ارزش طبیعی </c:v>
                  </c:pt>
                  <c:pt idx="538">
                    <c:v>ولایات</c:v>
                  </c:pt>
                  <c:pt idx="539">
                    <c:v>بامیان</c:v>
                  </c:pt>
                  <c:pt idx="543">
                    <c:v>مجموع فرعی</c:v>
                  </c:pt>
                  <c:pt idx="544">
                    <c:v>ولایات</c:v>
                  </c:pt>
                  <c:pt idx="545">
                    <c:v>بدخشان</c:v>
                  </c:pt>
                  <c:pt idx="547">
                    <c:v>مجموع فرعی</c:v>
                  </c:pt>
                  <c:pt idx="548">
                    <c:v>ولایات</c:v>
                  </c:pt>
                  <c:pt idx="549">
                    <c:v>کابل </c:v>
                  </c:pt>
                  <c:pt idx="550">
                    <c:v>مجموع فرعی</c:v>
                  </c:pt>
                  <c:pt idx="551">
                    <c:v>مجموع بودجه اکوسیستم های بار ارزش طبیعی </c:v>
                  </c:pt>
                  <c:pt idx="552">
                    <c:v>مصارف متفرقه در مرکز وزارت</c:v>
                  </c:pt>
                  <c:pt idx="553">
                    <c:v>مرکز </c:v>
                  </c:pt>
                  <c:pt idx="554">
                    <c:v>مرکز </c:v>
                  </c:pt>
                  <c:pt idx="555">
                    <c:v>مجموع فرعی</c:v>
                  </c:pt>
                  <c:pt idx="556">
                    <c:v>پلان کاری توحیدی سالانه برنامه ملی تنظیم منابع طبیعی  برای سال 1397</c:v>
                  </c:pt>
                  <c:pt idx="557">
                    <c:v>مقصد مشخص</c:v>
                  </c:pt>
                  <c:pt idx="558">
                    <c:v>الف</c:v>
                  </c:pt>
                  <c:pt idx="559">
                    <c:v>ب</c:v>
                  </c:pt>
                  <c:pt idx="560">
                    <c:v>ج </c:v>
                  </c:pt>
                  <c:pt idx="561">
                    <c:v>د</c:v>
                  </c:pt>
                  <c:pt idx="562">
                    <c:v>مصارف متفرقه</c:v>
                  </c:pt>
                  <c:pt idx="563">
                    <c:v>مجموع عمومی برنامه در سال 1397 به افغانی</c:v>
                  </c:pt>
                  <c:pt idx="564">
                    <c:v>ترتیب کنند گان</c:v>
                  </c:pt>
                  <c:pt idx="565">
                    <c:v>اسم </c:v>
                  </c:pt>
                  <c:pt idx="570">
                    <c:v>                  مرور و چک کننده گان </c:v>
                  </c:pt>
                  <c:pt idx="574">
                    <c:v>                  توحید کننده:</c:v>
                  </c:pt>
                </c:lvl>
              </c:multiLvlStrCache>
            </c:multiLvlStrRef>
          </c:cat>
          <c:val>
            <c:numRef>
              <c:f>'پلان گاری سالانه با نواقص'!$O$1:$O$579</c:f>
              <c:numCache>
                <c:formatCode>General</c:formatCode>
                <c:ptCount val="579"/>
                <c:pt idx="2">
                  <c:v>0</c:v>
                </c:pt>
                <c:pt idx="4" formatCode="_(* #,##0_);_(* \(#,##0\);_(* &quot;-&quot;??_);_(@_)">
                  <c:v>20160</c:v>
                </c:pt>
                <c:pt idx="5" formatCode="_(* #,##0_);_(* \(#,##0\);_(* &quot;-&quot;??_);_(@_)">
                  <c:v>20167</c:v>
                </c:pt>
                <c:pt idx="6" formatCode="_(* #,##0_);_(* \(#,##0\);_(* &quot;-&quot;??_);_(@_)">
                  <c:v>20174</c:v>
                </c:pt>
                <c:pt idx="7">
                  <c:v>60501</c:v>
                </c:pt>
                <c:pt idx="8">
                  <c:v>0</c:v>
                </c:pt>
                <c:pt idx="9" formatCode="_(* #,##0_);_(* \(#,##0\);_(* &quot;-&quot;??_);_(@_)">
                  <c:v>25200</c:v>
                </c:pt>
                <c:pt idx="10" formatCode="_(* #,##0_);_(* \(#,##0\);_(* &quot;-&quot;??_);_(@_)">
                  <c:v>0</c:v>
                </c:pt>
                <c:pt idx="11" formatCode="_(* #,##0_);_(* \(#,##0\);_(* &quot;-&quot;??_);_(@_)">
                  <c:v>0</c:v>
                </c:pt>
                <c:pt idx="12">
                  <c:v>25200</c:v>
                </c:pt>
                <c:pt idx="13">
                  <c:v>0</c:v>
                </c:pt>
                <c:pt idx="14" formatCode="_(* #,##0_);_(* \(#,##0\);_(* &quot;-&quot;??_);_(@_)">
                  <c:v>10080</c:v>
                </c:pt>
                <c:pt idx="15" formatCode="_(* #,##0_);_(* \(#,##0\);_(* &quot;-&quot;??_);_(@_)">
                  <c:v>0</c:v>
                </c:pt>
                <c:pt idx="16" formatCode="_(* #,##0_);_(* \(#,##0\);_(* &quot;-&quot;??_);_(@_)">
                  <c:v>1400</c:v>
                </c:pt>
                <c:pt idx="17" formatCode="_(* #,##0_);_(* \(#,##0\);_(* &quot;-&quot;??_);_(@_)">
                  <c:v>0</c:v>
                </c:pt>
                <c:pt idx="18">
                  <c:v>11480</c:v>
                </c:pt>
                <c:pt idx="19">
                  <c:v>0</c:v>
                </c:pt>
                <c:pt idx="20" formatCode="_(* #,##0_);_(* \(#,##0\);_(* &quot;-&quot;??_);_(@_)">
                  <c:v>10080</c:v>
                </c:pt>
                <c:pt idx="21" formatCode="_(* #,##0_);_(* \(#,##0\);_(* &quot;-&quot;??_);_(@_)">
                  <c:v>0</c:v>
                </c:pt>
                <c:pt idx="22" formatCode="_(* #,##0_);_(* \(#,##0\);_(* &quot;-&quot;??_);_(@_)">
                  <c:v>0</c:v>
                </c:pt>
                <c:pt idx="23">
                  <c:v>10080</c:v>
                </c:pt>
                <c:pt idx="24">
                  <c:v>0</c:v>
                </c:pt>
                <c:pt idx="25" formatCode="_(* #,##0_);_(* \(#,##0\);_(* &quot;-&quot;??_);_(@_)">
                  <c:v>15120</c:v>
                </c:pt>
                <c:pt idx="26" formatCode="_(* #,##0_);_(* \(#,##0\);_(* &quot;-&quot;??_);_(@_)">
                  <c:v>0</c:v>
                </c:pt>
                <c:pt idx="27" formatCode="_(* #,##0_);_(* \(#,##0\);_(* &quot;-&quot;??_);_(@_)">
                  <c:v>0</c:v>
                </c:pt>
                <c:pt idx="28">
                  <c:v>15120</c:v>
                </c:pt>
                <c:pt idx="29">
                  <c:v>0</c:v>
                </c:pt>
                <c:pt idx="30" formatCode="_(* #,##0_);_(* \(#,##0\);_(* &quot;-&quot;??_);_(@_)">
                  <c:v>5040</c:v>
                </c:pt>
                <c:pt idx="31" formatCode="_(* #,##0_);_(* \(#,##0\);_(* &quot;-&quot;??_);_(@_)">
                  <c:v>0</c:v>
                </c:pt>
                <c:pt idx="32">
                  <c:v>5040</c:v>
                </c:pt>
                <c:pt idx="33">
                  <c:v>0</c:v>
                </c:pt>
                <c:pt idx="34" formatCode="_(* #,##0_);_(* \(#,##0\);_(* &quot;-&quot;??_);_(@_)">
                  <c:v>2520</c:v>
                </c:pt>
                <c:pt idx="35" formatCode="_(* #,##0_);_(* \(#,##0\);_(* &quot;-&quot;??_);_(@_)">
                  <c:v>0</c:v>
                </c:pt>
                <c:pt idx="36">
                  <c:v>2520</c:v>
                </c:pt>
                <c:pt idx="37">
                  <c:v>0</c:v>
                </c:pt>
                <c:pt idx="38" formatCode="_(* #,##0_);_(* \(#,##0\);_(* &quot;-&quot;??_);_(@_)">
                  <c:v>2520</c:v>
                </c:pt>
                <c:pt idx="39" formatCode="_(* #,##0_);_(* \(#,##0\);_(* &quot;-&quot;??_);_(@_)">
                  <c:v>0</c:v>
                </c:pt>
                <c:pt idx="40">
                  <c:v>2520</c:v>
                </c:pt>
                <c:pt idx="41">
                  <c:v>0</c:v>
                </c:pt>
                <c:pt idx="42" formatCode="_(* #,##0_);_(* \(#,##0\);_(* &quot;-&quot;??_);_(@_)">
                  <c:v>25200</c:v>
                </c:pt>
                <c:pt idx="43" formatCode="_(* #,##0_);_(* \(#,##0\);_(* &quot;-&quot;??_);_(@_)">
                  <c:v>0</c:v>
                </c:pt>
                <c:pt idx="44" formatCode="_(* #,##0_);_(* \(#,##0\);_(* &quot;-&quot;??_);_(@_)">
                  <c:v>1400</c:v>
                </c:pt>
                <c:pt idx="45" formatCode="_(* #,##0_);_(* \(#,##0\);_(* &quot;-&quot;??_);_(@_)">
                  <c:v>0</c:v>
                </c:pt>
                <c:pt idx="46">
                  <c:v>26600</c:v>
                </c:pt>
                <c:pt idx="47">
                  <c:v>0</c:v>
                </c:pt>
                <c:pt idx="48" formatCode="_(* #,##0_);_(* \(#,##0\);_(* &quot;-&quot;??_);_(@_)">
                  <c:v>51674</c:v>
                </c:pt>
                <c:pt idx="49" formatCode="_(* #,##0_);_(* \(#,##0\);_(* &quot;-&quot;??_);_(@_)">
                  <c:v>0</c:v>
                </c:pt>
                <c:pt idx="50" formatCode="_(* #,##0_);_(* \(#,##0\);_(* &quot;-&quot;??_);_(@_)">
                  <c:v>0</c:v>
                </c:pt>
                <c:pt idx="51" formatCode="_(* #,##0_);_(* \(#,##0\);_(* &quot;-&quot;??_);_(@_)">
                  <c:v>6300</c:v>
                </c:pt>
                <c:pt idx="52" formatCode="_(* #,##0_);_(* \(#,##0\);_(* &quot;-&quot;??_);_(@_)">
                  <c:v>0</c:v>
                </c:pt>
                <c:pt idx="53">
                  <c:v>57974</c:v>
                </c:pt>
                <c:pt idx="54">
                  <c:v>0</c:v>
                </c:pt>
                <c:pt idx="55" formatCode="_(* #,##0_);_(* \(#,##0\);_(* &quot;-&quot;??_);_(@_)">
                  <c:v>10080</c:v>
                </c:pt>
                <c:pt idx="56" formatCode="_(* #,##0_);_(* \(#,##0\);_(* &quot;-&quot;??_);_(@_)">
                  <c:v>0</c:v>
                </c:pt>
                <c:pt idx="57" formatCode="_(* #,##0_);_(* \(#,##0\);_(* &quot;-&quot;??_);_(@_)">
                  <c:v>0</c:v>
                </c:pt>
                <c:pt idx="58">
                  <c:v>10080</c:v>
                </c:pt>
                <c:pt idx="59">
                  <c:v>0</c:v>
                </c:pt>
                <c:pt idx="60" formatCode="_(* #,##0_);_(* \(#,##0\);_(* &quot;-&quot;??_);_(@_)">
                  <c:v>15120</c:v>
                </c:pt>
                <c:pt idx="61" formatCode="_(* #,##0_);_(* \(#,##0\);_(* &quot;-&quot;??_);_(@_)">
                  <c:v>0</c:v>
                </c:pt>
                <c:pt idx="62" formatCode="_(* #,##0_);_(* \(#,##0\);_(* &quot;-&quot;??_);_(@_)">
                  <c:v>0</c:v>
                </c:pt>
                <c:pt idx="63">
                  <c:v>15120</c:v>
                </c:pt>
                <c:pt idx="64">
                  <c:v>0</c:v>
                </c:pt>
                <c:pt idx="65" formatCode="_(* #,##0_);_(* \(#,##0\);_(* &quot;-&quot;??_);_(@_)">
                  <c:v>4200</c:v>
                </c:pt>
                <c:pt idx="66" formatCode="_(* #,##0_);_(* \(#,##0\);_(* &quot;-&quot;??_);_(@_)">
                  <c:v>0</c:v>
                </c:pt>
                <c:pt idx="67">
                  <c:v>4200</c:v>
                </c:pt>
                <c:pt idx="68" formatCode="_(* #,##0_);_(* \(#,##0\);_(* &quot;-&quot;??_);_(@_)">
                  <c:v>246435</c:v>
                </c:pt>
                <c:pt idx="69">
                  <c:v>0</c:v>
                </c:pt>
                <c:pt idx="70">
                  <c:v>0</c:v>
                </c:pt>
                <c:pt idx="72" formatCode="_(* #,##0_);_(* \(#,##0\);_(* &quot;-&quot;??_);_(@_)">
                  <c:v>0</c:v>
                </c:pt>
                <c:pt idx="73" formatCode="_(* #,##0_);_(* \(#,##0\);_(* &quot;-&quot;??_);_(@_)">
                  <c:v>0</c:v>
                </c:pt>
                <c:pt idx="74" formatCode="_(* #,##0_);_(* \(#,##0\);_(* &quot;-&quot;??_);_(@_)">
                  <c:v>0</c:v>
                </c:pt>
                <c:pt idx="75" formatCode="_(* #,##0_);_(* \(#,##0\);_(* &quot;-&quot;??_);_(@_)">
                  <c:v>0</c:v>
                </c:pt>
                <c:pt idx="76" formatCode="_(* #,##0_);_(* \(#,##0\);_(* &quot;-&quot;??_);_(@_)">
                  <c:v>0</c:v>
                </c:pt>
                <c:pt idx="77" formatCode="_(* #,##0_);_(* \(#,##0\);_(* &quot;-&quot;??_);_(@_)">
                  <c:v>1050</c:v>
                </c:pt>
                <c:pt idx="78" formatCode="_(* #,##0_);_(* \(#,##0\);_(* &quot;-&quot;??_);_(@_)">
                  <c:v>0</c:v>
                </c:pt>
                <c:pt idx="79" formatCode="_(* #,##0_);_(* \(#,##0\);_(* &quot;-&quot;??_);_(@_)">
                  <c:v>2800</c:v>
                </c:pt>
                <c:pt idx="80" formatCode="_(* #,##0_);_(* \(#,##0\);_(* &quot;-&quot;??_);_(@_)">
                  <c:v>1400</c:v>
                </c:pt>
                <c:pt idx="81" formatCode="_(* #,##0_);_(* \(#,##0\);_(* &quot;-&quot;??_);_(@_)">
                  <c:v>0</c:v>
                </c:pt>
                <c:pt idx="82" formatCode="_(* #,##0_);_(* \(#,##0\);_(* &quot;-&quot;??_);_(@_)">
                  <c:v>0</c:v>
                </c:pt>
                <c:pt idx="83" formatCode="_(* #,##0_);_(* \(#,##0\);_(* &quot;-&quot;??_);_(@_)">
                  <c:v>0</c:v>
                </c:pt>
                <c:pt idx="84" formatCode="_(* #,##0_);_(* \(#,##0\);_(* &quot;-&quot;??_);_(@_)">
                  <c:v>0</c:v>
                </c:pt>
                <c:pt idx="85" formatCode="_(* #,##0_);_(* \(#,##0\);_(* &quot;-&quot;??_);_(@_)">
                  <c:v>5250</c:v>
                </c:pt>
                <c:pt idx="86" formatCode="_(* #,##0_);_(* \(#,##0\);_(* &quot;-&quot;??_);_(@_)">
                  <c:v>0</c:v>
                </c:pt>
                <c:pt idx="87" formatCode="_(* #,##0_);_(* \(#,##0\);_(* &quot;-&quot;??_);_(@_)">
                  <c:v>0</c:v>
                </c:pt>
                <c:pt idx="88" formatCode="_(* #,##0_);_(* \(#,##0\);_(* &quot;-&quot;??_);_(@_)">
                  <c:v>0</c:v>
                </c:pt>
                <c:pt idx="89" formatCode="_(* #,##0_);_(* \(#,##0\);_(* &quot;-&quot;??_);_(@_)">
                  <c:v>0</c:v>
                </c:pt>
                <c:pt idx="90" formatCode="_(* #,##0_);_(* \(#,##0\);_(* &quot;-&quot;??_);_(@_)">
                  <c:v>0</c:v>
                </c:pt>
                <c:pt idx="91" formatCode="_(* #,##0_);_(* \(#,##0\);_(* &quot;-&quot;??_);_(@_)">
                  <c:v>1064</c:v>
                </c:pt>
                <c:pt idx="92" formatCode="_(* #,##0_);_(* \(#,##0\);_(* &quot;-&quot;??_);_(@_)">
                  <c:v>1773.3333333333335</c:v>
                </c:pt>
                <c:pt idx="93" formatCode="_(* #,##0_);_(* \(#,##0\);_(* &quot;-&quot;??_);_(@_)">
                  <c:v>4620</c:v>
                </c:pt>
                <c:pt idx="94" formatCode="_(* #,##0_);_(* \(#,##0\);_(* &quot;-&quot;??_);_(@_)">
                  <c:v>0</c:v>
                </c:pt>
                <c:pt idx="95" formatCode="_(* #,##0_);_(* \(#,##0\);_(* &quot;-&quot;??_);_(@_)">
                  <c:v>5775</c:v>
                </c:pt>
                <c:pt idx="96" formatCode="_(* #,##0_);_(* \(#,##0\);_(* &quot;-&quot;??_);_(@_)">
                  <c:v>5775</c:v>
                </c:pt>
                <c:pt idx="97" formatCode="_(* #,##0_);_(* \(#,##0\);_(* &quot;-&quot;??_);_(@_)">
                  <c:v>0</c:v>
                </c:pt>
                <c:pt idx="98" formatCode="_(* #,##0_);_(* \(#,##0\);_(* &quot;-&quot;??_);_(@_)">
                  <c:v>9240</c:v>
                </c:pt>
                <c:pt idx="99" formatCode="_(* #,##0_);_(* \(#,##0\);_(* &quot;-&quot;??_);_(@_)">
                  <c:v>2800</c:v>
                </c:pt>
                <c:pt idx="100" formatCode="_(* #,##0_);_(* \(#,##0\);_(* &quot;-&quot;??_);_(@_)">
                  <c:v>0</c:v>
                </c:pt>
                <c:pt idx="101" formatCode="_(* #,##0_);_(* \(#,##0\);_(* &quot;-&quot;??_);_(@_)">
                  <c:v>35</c:v>
                </c:pt>
                <c:pt idx="102" formatCode="_(* #,##0_);_(* \(#,##0\);_(* &quot;-&quot;??_);_(@_)">
                  <c:v>0</c:v>
                </c:pt>
                <c:pt idx="103" formatCode="_(* #,##0_);_(* \(#,##0\);_(* &quot;-&quot;??_);_(@_)">
                  <c:v>1400</c:v>
                </c:pt>
                <c:pt idx="104" formatCode="_(* #,##0_);_(* \(#,##0\);_(* &quot;-&quot;??_);_(@_)">
                  <c:v>0</c:v>
                </c:pt>
                <c:pt idx="105" formatCode="_(* #,##0_);_(* \(#,##0\);_(* &quot;-&quot;??_);_(@_)">
                  <c:v>0</c:v>
                </c:pt>
                <c:pt idx="106" formatCode="_(* #,##0_);_(* \(#,##0\);_(* &quot;-&quot;??_);_(@_)">
                  <c:v>2800</c:v>
                </c:pt>
                <c:pt idx="107" formatCode="_(* #,##0_);_(* \(#,##0\);_(* &quot;-&quot;??_);_(@_)">
                  <c:v>1400</c:v>
                </c:pt>
                <c:pt idx="108" formatCode="_(* #,##0_);_(* \(#,##0\);_(* &quot;-&quot;??_);_(@_)">
                  <c:v>0</c:v>
                </c:pt>
                <c:pt idx="109" formatCode="_(* #,##0_);_(* \(#,##0\);_(* &quot;-&quot;??_);_(@_)">
                  <c:v>0</c:v>
                </c:pt>
                <c:pt idx="110" formatCode="_(* #,##0_);_(* \(#,##0\);_(* &quot;-&quot;??_);_(@_)">
                  <c:v>0</c:v>
                </c:pt>
                <c:pt idx="111" formatCode="_(* #,##0_);_(* \(#,##0\);_(* &quot;-&quot;??_);_(@_)">
                  <c:v>0</c:v>
                </c:pt>
                <c:pt idx="112" formatCode="_(* #,##0_);_(* \(#,##0\);_(* &quot;-&quot;??_);_(@_)">
                  <c:v>0</c:v>
                </c:pt>
                <c:pt idx="113" formatCode="_(* #,##0_);_(* \(#,##0\);_(* &quot;-&quot;??_);_(@_)">
                  <c:v>36682.333333333336</c:v>
                </c:pt>
                <c:pt idx="114" formatCode="_(* #,##0_);_(* \(#,##0\);_(* &quot;-&quot;??_);_(@_)">
                  <c:v>0</c:v>
                </c:pt>
                <c:pt idx="115" formatCode="_(* #,##0_);_(* \(#,##0\);_(* &quot;-&quot;??_);_(@_)">
                  <c:v>0</c:v>
                </c:pt>
                <c:pt idx="116" formatCode="_(* #,##0_);_(* \(#,##0\);_(* &quot;-&quot;??_);_(@_)">
                  <c:v>0</c:v>
                </c:pt>
                <c:pt idx="117" formatCode="_(* #,##0_);_(* \(#,##0\);_(* &quot;-&quot;??_);_(@_)">
                  <c:v>0</c:v>
                </c:pt>
                <c:pt idx="118" formatCode="_(* #,##0_);_(* \(#,##0\);_(* &quot;-&quot;??_);_(@_)">
                  <c:v>0</c:v>
                </c:pt>
                <c:pt idx="119" formatCode="_(* #,##0_);_(* \(#,##0\);_(* &quot;-&quot;??_);_(@_)">
                  <c:v>0</c:v>
                </c:pt>
                <c:pt idx="120" formatCode="_(* #,##0_);_(* \(#,##0\);_(* &quot;-&quot;??_);_(@_)">
                  <c:v>1750</c:v>
                </c:pt>
                <c:pt idx="121" formatCode="_(* #,##0_);_(* \(#,##0\);_(* &quot;-&quot;??_);_(@_)">
                  <c:v>0</c:v>
                </c:pt>
                <c:pt idx="122" formatCode="_(* #,##0_);_(* \(#,##0\);_(* &quot;-&quot;??_);_(@_)">
                  <c:v>2800</c:v>
                </c:pt>
                <c:pt idx="123" formatCode="_(* #,##0_);_(* \(#,##0\);_(* &quot;-&quot;??_);_(@_)">
                  <c:v>1400</c:v>
                </c:pt>
                <c:pt idx="124" formatCode="_(* #,##0_);_(* \(#,##0\);_(* &quot;-&quot;??_);_(@_)">
                  <c:v>0</c:v>
                </c:pt>
                <c:pt idx="125" formatCode="_(* #,##0_);_(* \(#,##0\);_(* &quot;-&quot;??_);_(@_)">
                  <c:v>0</c:v>
                </c:pt>
                <c:pt idx="126" formatCode="_(* #,##0_);_(* \(#,##0\);_(* &quot;-&quot;??_);_(@_)">
                  <c:v>0</c:v>
                </c:pt>
                <c:pt idx="127" formatCode="_(* #,##0_);_(* \(#,##0\);_(* &quot;-&quot;??_);_(@_)">
                  <c:v>0</c:v>
                </c:pt>
                <c:pt idx="128" formatCode="_(* #,##0_);_(* \(#,##0\);_(* &quot;-&quot;??_);_(@_)">
                  <c:v>5950</c:v>
                </c:pt>
                <c:pt idx="129" formatCode="_(* #,##0_);_(* \(#,##0\);_(* &quot;-&quot;??_);_(@_)">
                  <c:v>0</c:v>
                </c:pt>
                <c:pt idx="130" formatCode="_(* #,##0_);_(* \(#,##0\);_(* &quot;-&quot;??_);_(@_)">
                  <c:v>0</c:v>
                </c:pt>
                <c:pt idx="131" formatCode="_(* #,##0_);_(* \(#,##0\);_(* &quot;-&quot;??_);_(@_)">
                  <c:v>0</c:v>
                </c:pt>
                <c:pt idx="132" formatCode="_(* #,##0_);_(* \(#,##0\);_(* &quot;-&quot;??_);_(@_)">
                  <c:v>840</c:v>
                </c:pt>
                <c:pt idx="133" formatCode="_(* #,##0_);_(* \(#,##0\);_(* &quot;-&quot;??_);_(@_)">
                  <c:v>1400</c:v>
                </c:pt>
                <c:pt idx="134" formatCode="_(* #,##0_);_(* \(#,##0\);_(* &quot;-&quot;??_);_(@_)">
                  <c:v>3500</c:v>
                </c:pt>
                <c:pt idx="135" formatCode="_(* #,##0_);_(* \(#,##0\);_(* &quot;-&quot;??_);_(@_)">
                  <c:v>0</c:v>
                </c:pt>
                <c:pt idx="136" formatCode="_(* #,##0_);_(* \(#,##0\);_(* &quot;-&quot;??_);_(@_)">
                  <c:v>4375</c:v>
                </c:pt>
                <c:pt idx="137" formatCode="_(* #,##0_);_(* \(#,##0\);_(* &quot;-&quot;??_);_(@_)">
                  <c:v>4375</c:v>
                </c:pt>
                <c:pt idx="138" formatCode="_(* #,##0_);_(* \(#,##0\);_(* &quot;-&quot;??_);_(@_)">
                  <c:v>0</c:v>
                </c:pt>
                <c:pt idx="139" formatCode="_(* #,##0_);_(* \(#,##0\);_(* &quot;-&quot;??_);_(@_)">
                  <c:v>7000</c:v>
                </c:pt>
                <c:pt idx="140" formatCode="_(* #,##0_);_(* \(#,##0\);_(* &quot;-&quot;??_);_(@_)">
                  <c:v>2800</c:v>
                </c:pt>
                <c:pt idx="141" formatCode="_(* #,##0_);_(* \(#,##0\);_(* &quot;-&quot;??_);_(@_)">
                  <c:v>0</c:v>
                </c:pt>
                <c:pt idx="142" formatCode="_(* #,##0_);_(* \(#,##0\);_(* &quot;-&quot;??_);_(@_)">
                  <c:v>35</c:v>
                </c:pt>
                <c:pt idx="143" formatCode="_(* #,##0_);_(* \(#,##0\);_(* &quot;-&quot;??_);_(@_)">
                  <c:v>0</c:v>
                </c:pt>
                <c:pt idx="144" formatCode="_(* #,##0_);_(* \(#,##0\);_(* &quot;-&quot;??_);_(@_)">
                  <c:v>1400</c:v>
                </c:pt>
                <c:pt idx="145" formatCode="_(* #,##0_);_(* \(#,##0\);_(* &quot;-&quot;??_);_(@_)">
                  <c:v>0</c:v>
                </c:pt>
                <c:pt idx="146" formatCode="_(* #,##0_);_(* \(#,##0\);_(* &quot;-&quot;??_);_(@_)">
                  <c:v>0</c:v>
                </c:pt>
                <c:pt idx="147" formatCode="_(* #,##0_);_(* \(#,##0\);_(* &quot;-&quot;??_);_(@_)">
                  <c:v>2800</c:v>
                </c:pt>
                <c:pt idx="148" formatCode="_(* #,##0_);_(* \(#,##0\);_(* &quot;-&quot;??_);_(@_)">
                  <c:v>1400</c:v>
                </c:pt>
                <c:pt idx="149" formatCode="_(* #,##0_);_(* \(#,##0\);_(* &quot;-&quot;??_);_(@_)">
                  <c:v>1400</c:v>
                </c:pt>
                <c:pt idx="150" formatCode="_(* #,##0_);_(* \(#,##0\);_(* &quot;-&quot;??_);_(@_)">
                  <c:v>0</c:v>
                </c:pt>
                <c:pt idx="151" formatCode="_(* #,##0_);_(* \(#,##0\);_(* &quot;-&quot;??_);_(@_)">
                  <c:v>0</c:v>
                </c:pt>
                <c:pt idx="152" formatCode="_(* #,##0_);_(* \(#,##0\);_(* &quot;-&quot;??_);_(@_)">
                  <c:v>0</c:v>
                </c:pt>
                <c:pt idx="153" formatCode="_(* #,##0_);_(* \(#,##0\);_(* &quot;-&quot;??_);_(@_)">
                  <c:v>0</c:v>
                </c:pt>
                <c:pt idx="154" formatCode="_(* #,##0_);_(* \(#,##0\);_(* &quot;-&quot;??_);_(@_)">
                  <c:v>0</c:v>
                </c:pt>
                <c:pt idx="155" formatCode="_(* #,##0_);_(* \(#,##0\);_(* &quot;-&quot;??_);_(@_)">
                  <c:v>0</c:v>
                </c:pt>
                <c:pt idx="156" formatCode="_(* #,##0_);_(* \(#,##0\);_(* &quot;-&quot;??_);_(@_)">
                  <c:v>31325</c:v>
                </c:pt>
                <c:pt idx="157" formatCode="_(* #,##0_);_(* \(#,##0\);_(* &quot;-&quot;??_);_(@_)">
                  <c:v>0</c:v>
                </c:pt>
                <c:pt idx="158" formatCode="_(* #,##0_);_(* \(#,##0\);_(* &quot;-&quot;??_);_(@_)">
                  <c:v>0</c:v>
                </c:pt>
                <c:pt idx="159" formatCode="_(* #,##0_);_(* \(#,##0\);_(* &quot;-&quot;??_);_(@_)">
                  <c:v>0</c:v>
                </c:pt>
                <c:pt idx="160" formatCode="_(* #,##0_);_(* \(#,##0\);_(* &quot;-&quot;??_);_(@_)">
                  <c:v>0</c:v>
                </c:pt>
                <c:pt idx="161" formatCode="_(* #,##0_);_(* \(#,##0\);_(* &quot;-&quot;??_);_(@_)">
                  <c:v>0</c:v>
                </c:pt>
                <c:pt idx="162" formatCode="_(* #,##0_);_(* \(#,##0\);_(* &quot;-&quot;??_);_(@_)">
                  <c:v>0</c:v>
                </c:pt>
                <c:pt idx="163" formatCode="_(* #,##0_);_(* \(#,##0\);_(* &quot;-&quot;??_);_(@_)">
                  <c:v>1750</c:v>
                </c:pt>
                <c:pt idx="164" formatCode="_(* #,##0_);_(* \(#,##0\);_(* &quot;-&quot;??_);_(@_)">
                  <c:v>0</c:v>
                </c:pt>
                <c:pt idx="165" formatCode="_(* #,##0_);_(* \(#,##0\);_(* &quot;-&quot;??_);_(@_)">
                  <c:v>5600</c:v>
                </c:pt>
                <c:pt idx="166" formatCode="_(* #,##0_);_(* \(#,##0\);_(* &quot;-&quot;??_);_(@_)">
                  <c:v>2800</c:v>
                </c:pt>
                <c:pt idx="167" formatCode="_(* #,##0_);_(* \(#,##0\);_(* &quot;-&quot;??_);_(@_)">
                  <c:v>0</c:v>
                </c:pt>
                <c:pt idx="168" formatCode="_(* #,##0_);_(* \(#,##0\);_(* &quot;-&quot;??_);_(@_)">
                  <c:v>0</c:v>
                </c:pt>
                <c:pt idx="169" formatCode="_(* #,##0_);_(* \(#,##0\);_(* &quot;-&quot;??_);_(@_)">
                  <c:v>0</c:v>
                </c:pt>
                <c:pt idx="170" formatCode="_(* #,##0_);_(* \(#,##0\);_(* &quot;-&quot;??_);_(@_)">
                  <c:v>0</c:v>
                </c:pt>
                <c:pt idx="171" formatCode="_(* #,##0_);_(* \(#,##0\);_(* &quot;-&quot;??_);_(@_)">
                  <c:v>10150</c:v>
                </c:pt>
                <c:pt idx="172" formatCode="_(* #,##0_);_(* \(#,##0\);_(* &quot;-&quot;??_);_(@_)">
                  <c:v>0</c:v>
                </c:pt>
                <c:pt idx="173" formatCode="_(* #,##0_);_(* \(#,##0\);_(* &quot;-&quot;??_);_(@_)">
                  <c:v>0</c:v>
                </c:pt>
                <c:pt idx="174" formatCode="_(* #,##0_);_(* \(#,##0\);_(* &quot;-&quot;??_);_(@_)">
                  <c:v>1890</c:v>
                </c:pt>
                <c:pt idx="175" formatCode="_(* #,##0_);_(* \(#,##0\);_(* &quot;-&quot;??_);_(@_)">
                  <c:v>2520</c:v>
                </c:pt>
                <c:pt idx="176" formatCode="_(* #,##0_);_(* \(#,##0\);_(* &quot;-&quot;??_);_(@_)">
                  <c:v>2800</c:v>
                </c:pt>
                <c:pt idx="177" formatCode="_(* #,##0_);_(* \(#,##0\);_(* &quot;-&quot;??_);_(@_)">
                  <c:v>420</c:v>
                </c:pt>
                <c:pt idx="178" formatCode="_(* #,##0_);_(* \(#,##0\);_(* &quot;-&quot;??_);_(@_)">
                  <c:v>0</c:v>
                </c:pt>
                <c:pt idx="179" formatCode="_(* #,##0_);_(* \(#,##0\);_(* &quot;-&quot;??_);_(@_)">
                  <c:v>7630</c:v>
                </c:pt>
                <c:pt idx="180" formatCode="_(* #,##0_);_(* \(#,##0\);_(* &quot;-&quot;??_);_(@_)">
                  <c:v>0</c:v>
                </c:pt>
                <c:pt idx="181" formatCode="_(* #,##0_);_(* \(#,##0\);_(* &quot;-&quot;??_);_(@_)">
                  <c:v>1890</c:v>
                </c:pt>
                <c:pt idx="182" formatCode="_(* #,##0_);_(* \(#,##0\);_(* &quot;-&quot;??_);_(@_)">
                  <c:v>2520</c:v>
                </c:pt>
                <c:pt idx="183" formatCode="_(* #,##0_);_(* \(#,##0\);_(* &quot;-&quot;??_);_(@_)">
                  <c:v>1680</c:v>
                </c:pt>
                <c:pt idx="184" formatCode="_(* #,##0_);_(* \(#,##0\);_(* &quot;-&quot;??_);_(@_)">
                  <c:v>2800</c:v>
                </c:pt>
                <c:pt idx="185" formatCode="_(* #,##0_);_(* \(#,##0\);_(* &quot;-&quot;??_);_(@_)">
                  <c:v>0</c:v>
                </c:pt>
                <c:pt idx="186" formatCode="_(* #,##0_);_(* \(#,##0\);_(* &quot;-&quot;??_);_(@_)">
                  <c:v>8890</c:v>
                </c:pt>
                <c:pt idx="187" formatCode="_(* #,##0_);_(* \(#,##0\);_(* &quot;-&quot;??_);_(@_)">
                  <c:v>0</c:v>
                </c:pt>
                <c:pt idx="188" formatCode="_(* #,##0_);_(* \(#,##0\);_(* &quot;-&quot;??_);_(@_)">
                  <c:v>1890</c:v>
                </c:pt>
                <c:pt idx="189" formatCode="_(* #,##0_);_(* \(#,##0\);_(* &quot;-&quot;??_);_(@_)">
                  <c:v>2520</c:v>
                </c:pt>
                <c:pt idx="190" formatCode="_(* #,##0_);_(* \(#,##0\);_(* &quot;-&quot;??_);_(@_)">
                  <c:v>0</c:v>
                </c:pt>
                <c:pt idx="191" formatCode="_(* #,##0_);_(* \(#,##0\);_(* &quot;-&quot;??_);_(@_)">
                  <c:v>140</c:v>
                </c:pt>
                <c:pt idx="192" formatCode="_(* #,##0_);_(* \(#,##0\);_(* &quot;-&quot;??_);_(@_)">
                  <c:v>0</c:v>
                </c:pt>
                <c:pt idx="193" formatCode="_(* #,##0_);_(* \(#,##0\);_(* &quot;-&quot;??_);_(@_)">
                  <c:v>840</c:v>
                </c:pt>
                <c:pt idx="194" formatCode="_(* #,##0_);_(* \(#,##0\);_(* &quot;-&quot;??_);_(@_)">
                  <c:v>1400</c:v>
                </c:pt>
                <c:pt idx="195" formatCode="_(* #,##0_);_(* \(#,##0\);_(* &quot;-&quot;??_);_(@_)">
                  <c:v>3500</c:v>
                </c:pt>
                <c:pt idx="196" formatCode="_(* #,##0_);_(* \(#,##0\);_(* &quot;-&quot;??_);_(@_)">
                  <c:v>0</c:v>
                </c:pt>
                <c:pt idx="197" formatCode="_(* #,##0_);_(* \(#,##0\);_(* &quot;-&quot;??_);_(@_)">
                  <c:v>4375</c:v>
                </c:pt>
                <c:pt idx="198" formatCode="_(* #,##0_);_(* \(#,##0\);_(* &quot;-&quot;??_);_(@_)">
                  <c:v>4375</c:v>
                </c:pt>
                <c:pt idx="199" formatCode="_(* #,##0_);_(* \(#,##0\);_(* &quot;-&quot;??_);_(@_)">
                  <c:v>0</c:v>
                </c:pt>
                <c:pt idx="200" formatCode="_(* #,##0_);_(* \(#,##0\);_(* &quot;-&quot;??_);_(@_)">
                  <c:v>7000</c:v>
                </c:pt>
                <c:pt idx="201" formatCode="_(* #,##0_);_(* \(#,##0\);_(* &quot;-&quot;??_);_(@_)">
                  <c:v>2800</c:v>
                </c:pt>
                <c:pt idx="202" formatCode="_(* #,##0_);_(* \(#,##0\);_(* &quot;-&quot;??_);_(@_)">
                  <c:v>0</c:v>
                </c:pt>
                <c:pt idx="203" formatCode="_(* #,##0_);_(* \(#,##0\);_(* &quot;-&quot;??_);_(@_)">
                  <c:v>35</c:v>
                </c:pt>
                <c:pt idx="204" formatCode="_(* #,##0_);_(* \(#,##0\);_(* &quot;-&quot;??_);_(@_)">
                  <c:v>0</c:v>
                </c:pt>
                <c:pt idx="205" formatCode="_(* #,##0_);_(* \(#,##0\);_(* &quot;-&quot;??_);_(@_)">
                  <c:v>1400</c:v>
                </c:pt>
                <c:pt idx="206" formatCode="_(* #,##0_);_(* \(#,##0\);_(* &quot;-&quot;??_);_(@_)">
                  <c:v>420</c:v>
                </c:pt>
                <c:pt idx="207" formatCode="_(* #,##0_);_(* \(#,##0\);_(* &quot;-&quot;??_);_(@_)">
                  <c:v>0</c:v>
                </c:pt>
                <c:pt idx="208" formatCode="_(* #,##0_);_(* \(#,##0\);_(* &quot;-&quot;??_);_(@_)">
                  <c:v>2800</c:v>
                </c:pt>
                <c:pt idx="209" formatCode="_(* #,##0_);_(* \(#,##0\);_(* &quot;-&quot;??_);_(@_)">
                  <c:v>0</c:v>
                </c:pt>
                <c:pt idx="210" formatCode="_(* #,##0_);_(* \(#,##0\);_(* &quot;-&quot;??_);_(@_)">
                  <c:v>1400</c:v>
                </c:pt>
                <c:pt idx="211" formatCode="_(* #,##0_);_(* \(#,##0\);_(* &quot;-&quot;??_);_(@_)">
                  <c:v>0</c:v>
                </c:pt>
                <c:pt idx="212" formatCode="_(* #,##0_);_(* \(#,##0\);_(* &quot;-&quot;??_);_(@_)">
                  <c:v>0</c:v>
                </c:pt>
                <c:pt idx="213" formatCode="_(* #,##0_);_(* \(#,##0\);_(* &quot;-&quot;??_);_(@_)">
                  <c:v>0</c:v>
                </c:pt>
                <c:pt idx="214" formatCode="_(* #,##0_);_(* \(#,##0\);_(* &quot;-&quot;??_);_(@_)">
                  <c:v>0</c:v>
                </c:pt>
                <c:pt idx="215" formatCode="_(* #,##0_);_(* \(#,##0\);_(* &quot;-&quot;??_);_(@_)">
                  <c:v>34895</c:v>
                </c:pt>
                <c:pt idx="216" formatCode="_(* #,##0_);_(* \(#,##0\);_(* &quot;-&quot;??_);_(@_)">
                  <c:v>0</c:v>
                </c:pt>
                <c:pt idx="217" formatCode="_(* #,##0_);_(* \(#,##0\);_(* &quot;-&quot;??_);_(@_)">
                  <c:v>2520</c:v>
                </c:pt>
                <c:pt idx="218" formatCode="_(* #,##0_);_(* \(#,##0\);_(* &quot;-&quot;??_);_(@_)">
                  <c:v>0</c:v>
                </c:pt>
                <c:pt idx="219" formatCode="_(* #,##0_);_(* \(#,##0\);_(* &quot;-&quot;??_);_(@_)">
                  <c:v>0</c:v>
                </c:pt>
                <c:pt idx="220" formatCode="_(* #,##0_);_(* \(#,##0\);_(* &quot;-&quot;??_);_(@_)">
                  <c:v>840</c:v>
                </c:pt>
                <c:pt idx="221" formatCode="_(* #,##0_);_(* \(#,##0\);_(* &quot;-&quot;??_);_(@_)">
                  <c:v>1400</c:v>
                </c:pt>
                <c:pt idx="222" formatCode="_(* #,##0_);_(* \(#,##0\);_(* &quot;-&quot;??_);_(@_)">
                  <c:v>3500</c:v>
                </c:pt>
                <c:pt idx="223" formatCode="_(* #,##0_);_(* \(#,##0\);_(* &quot;-&quot;??_);_(@_)">
                  <c:v>0</c:v>
                </c:pt>
                <c:pt idx="224" formatCode="_(* #,##0_);_(* \(#,##0\);_(* &quot;-&quot;??_);_(@_)">
                  <c:v>4375</c:v>
                </c:pt>
                <c:pt idx="225" formatCode="_(* #,##0_);_(* \(#,##0\);_(* &quot;-&quot;??_);_(@_)">
                  <c:v>4375</c:v>
                </c:pt>
                <c:pt idx="226" formatCode="_(* #,##0_);_(* \(#,##0\);_(* &quot;-&quot;??_);_(@_)">
                  <c:v>0</c:v>
                </c:pt>
                <c:pt idx="227" formatCode="_(* #,##0_);_(* \(#,##0\);_(* &quot;-&quot;??_);_(@_)">
                  <c:v>7000</c:v>
                </c:pt>
                <c:pt idx="228" formatCode="_(* #,##0_);_(* \(#,##0\);_(* &quot;-&quot;??_);_(@_)">
                  <c:v>2800</c:v>
                </c:pt>
                <c:pt idx="229" formatCode="_(* #,##0_);_(* \(#,##0\);_(* &quot;-&quot;??_);_(@_)">
                  <c:v>0</c:v>
                </c:pt>
                <c:pt idx="230" formatCode="_(* #,##0_);_(* \(#,##0\);_(* &quot;-&quot;??_);_(@_)">
                  <c:v>35</c:v>
                </c:pt>
                <c:pt idx="231" formatCode="_(* #,##0_);_(* \(#,##0\);_(* &quot;-&quot;??_);_(@_)">
                  <c:v>0</c:v>
                </c:pt>
                <c:pt idx="232" formatCode="_(* #,##0_);_(* \(#,##0\);_(* &quot;-&quot;??_);_(@_)">
                  <c:v>1400</c:v>
                </c:pt>
                <c:pt idx="233" formatCode="_(* #,##0_);_(* \(#,##0\);_(* &quot;-&quot;??_);_(@_)">
                  <c:v>420</c:v>
                </c:pt>
                <c:pt idx="234" formatCode="_(* #,##0_);_(* \(#,##0\);_(* &quot;-&quot;??_);_(@_)">
                  <c:v>0</c:v>
                </c:pt>
                <c:pt idx="235" formatCode="_(* #,##0_);_(* \(#,##0\);_(* &quot;-&quot;??_);_(@_)">
                  <c:v>0</c:v>
                </c:pt>
                <c:pt idx="236" formatCode="_(* #,##0_);_(* \(#,##0\);_(* &quot;-&quot;??_);_(@_)">
                  <c:v>28665</c:v>
                </c:pt>
                <c:pt idx="237" formatCode="_(* #,##0_);_(* \(#,##0\);_(* &quot;-&quot;??_);_(@_)">
                  <c:v>0</c:v>
                </c:pt>
                <c:pt idx="238" formatCode="_(* #,##0_);_(* \(#,##0\);_(* &quot;-&quot;??_);_(@_)">
                  <c:v>0</c:v>
                </c:pt>
                <c:pt idx="239" formatCode="_(* #,##0_);_(* \(#,##0\);_(* &quot;-&quot;??_);_(@_)">
                  <c:v>140</c:v>
                </c:pt>
                <c:pt idx="240" formatCode="_(* #,##0_);_(* \(#,##0\);_(* &quot;-&quot;??_);_(@_)">
                  <c:v>0</c:v>
                </c:pt>
                <c:pt idx="241" formatCode="_(* #,##0_);_(* \(#,##0\);_(* &quot;-&quot;??_);_(@_)">
                  <c:v>0</c:v>
                </c:pt>
                <c:pt idx="242" formatCode="_(* #,##0_);_(* \(#,##0\);_(* &quot;-&quot;??_);_(@_)">
                  <c:v>1750</c:v>
                </c:pt>
                <c:pt idx="243" formatCode="_(* #,##0_);_(* \(#,##0\);_(* &quot;-&quot;??_);_(@_)">
                  <c:v>0</c:v>
                </c:pt>
                <c:pt idx="244" formatCode="_(* #,##0_);_(* \(#,##0\);_(* &quot;-&quot;??_);_(@_)">
                  <c:v>1890</c:v>
                </c:pt>
                <c:pt idx="245" formatCode="_(* #,##0_);_(* \(#,##0\);_(* &quot;-&quot;??_);_(@_)">
                  <c:v>0</c:v>
                </c:pt>
                <c:pt idx="246" formatCode="_(* #,##0_);_(* \(#,##0\);_(* &quot;-&quot;??_);_(@_)">
                  <c:v>0</c:v>
                </c:pt>
                <c:pt idx="247" formatCode="_(* #,##0_);_(* \(#,##0\);_(* &quot;-&quot;??_);_(@_)">
                  <c:v>140</c:v>
                </c:pt>
                <c:pt idx="248" formatCode="_(* #,##0_);_(* \(#,##0\);_(* &quot;-&quot;??_);_(@_)">
                  <c:v>0</c:v>
                </c:pt>
                <c:pt idx="249" formatCode="_(* #,##0_);_(* \(#,##0\);_(* &quot;-&quot;??_);_(@_)">
                  <c:v>0</c:v>
                </c:pt>
                <c:pt idx="250" formatCode="_(* #,##0_);_(* \(#,##0\);_(* &quot;-&quot;??_);_(@_)">
                  <c:v>1750</c:v>
                </c:pt>
                <c:pt idx="251" formatCode="_(* #,##0_);_(* \(#,##0\);_(* &quot;-&quot;??_);_(@_)">
                  <c:v>0</c:v>
                </c:pt>
                <c:pt idx="252" formatCode="_(* #,##0_);_(* \(#,##0\);_(* &quot;-&quot;??_);_(@_)">
                  <c:v>1750</c:v>
                </c:pt>
                <c:pt idx="253" formatCode="_(* #,##0_);_(* \(#,##0\);_(* &quot;-&quot;??_);_(@_)">
                  <c:v>0</c:v>
                </c:pt>
                <c:pt idx="254" formatCode="_(* #,##0_);_(* \(#,##0\);_(* &quot;-&quot;??_);_(@_)">
                  <c:v>0</c:v>
                </c:pt>
                <c:pt idx="255" formatCode="_(* #,##0_);_(* \(#,##0\);_(* &quot;-&quot;??_);_(@_)">
                  <c:v>140</c:v>
                </c:pt>
                <c:pt idx="256" formatCode="_(* #,##0_);_(* \(#,##0\);_(* &quot;-&quot;??_);_(@_)">
                  <c:v>0</c:v>
                </c:pt>
                <c:pt idx="257" formatCode="_(* #,##0_);_(* \(#,##0\);_(* &quot;-&quot;??_);_(@_)">
                  <c:v>0</c:v>
                </c:pt>
                <c:pt idx="258" formatCode="_(* #,##0_);_(* \(#,##0\);_(* &quot;-&quot;??_);_(@_)">
                  <c:v>1750</c:v>
                </c:pt>
                <c:pt idx="259" formatCode="_(* #,##0_);_(* \(#,##0\);_(* &quot;-&quot;??_);_(@_)">
                  <c:v>0</c:v>
                </c:pt>
                <c:pt idx="260" formatCode="_(* #,##0_);_(* \(#,##0\);_(* &quot;-&quot;??_);_(@_)">
                  <c:v>1890</c:v>
                </c:pt>
                <c:pt idx="261" formatCode="_(* #,##0_);_(* \(#,##0\);_(* &quot;-&quot;??_);_(@_)">
                  <c:v>0</c:v>
                </c:pt>
                <c:pt idx="262" formatCode="_(* #,##0_);_(* \(#,##0\);_(* &quot;-&quot;??_);_(@_)">
                  <c:v>0</c:v>
                </c:pt>
                <c:pt idx="263" formatCode="_(* #,##0_);_(* \(#,##0\);_(* &quot;-&quot;??_);_(@_)">
                  <c:v>140</c:v>
                </c:pt>
                <c:pt idx="264" formatCode="_(* #,##0_);_(* \(#,##0\);_(* &quot;-&quot;??_);_(@_)">
                  <c:v>0</c:v>
                </c:pt>
                <c:pt idx="265" formatCode="_(* #,##0_);_(* \(#,##0\);_(* &quot;-&quot;??_);_(@_)">
                  <c:v>0</c:v>
                </c:pt>
                <c:pt idx="266" formatCode="_(* #,##0_);_(* \(#,##0\);_(* &quot;-&quot;??_);_(@_)">
                  <c:v>1750</c:v>
                </c:pt>
                <c:pt idx="267" formatCode="_(* #,##0_);_(* \(#,##0\);_(* &quot;-&quot;??_);_(@_)">
                  <c:v>0</c:v>
                </c:pt>
                <c:pt idx="268" formatCode="_(* #,##0_);_(* \(#,##0\);_(* &quot;-&quot;??_);_(@_)">
                  <c:v>1890</c:v>
                </c:pt>
                <c:pt idx="269" formatCode="_(* #,##0_);_(* \(#,##0\);_(* &quot;-&quot;??_);_(@_)">
                  <c:v>0</c:v>
                </c:pt>
                <c:pt idx="270" formatCode="_(* #,##0_);_(* \(#,##0\);_(* &quot;-&quot;??_);_(@_)">
                  <c:v>0</c:v>
                </c:pt>
                <c:pt idx="271" formatCode="_(* #,##0_);_(* \(#,##0\);_(* &quot;-&quot;??_);_(@_)">
                  <c:v>140</c:v>
                </c:pt>
                <c:pt idx="272" formatCode="_(* #,##0_);_(* \(#,##0\);_(* &quot;-&quot;??_);_(@_)">
                  <c:v>0</c:v>
                </c:pt>
                <c:pt idx="273" formatCode="_(* #,##0_);_(* \(#,##0\);_(* &quot;-&quot;??_);_(@_)">
                  <c:v>0</c:v>
                </c:pt>
                <c:pt idx="274" formatCode="_(* #,##0_);_(* \(#,##0\);_(* &quot;-&quot;??_);_(@_)">
                  <c:v>1750</c:v>
                </c:pt>
                <c:pt idx="275" formatCode="_(* #,##0_);_(* \(#,##0\);_(* &quot;-&quot;??_);_(@_)">
                  <c:v>0</c:v>
                </c:pt>
                <c:pt idx="276" formatCode="_(* #,##0_);_(* \(#,##0\);_(* &quot;-&quot;??_);_(@_)">
                  <c:v>5600</c:v>
                </c:pt>
                <c:pt idx="277" formatCode="_(* #,##0_);_(* \(#,##0\);_(* &quot;-&quot;??_);_(@_)">
                  <c:v>2800</c:v>
                </c:pt>
                <c:pt idx="278" formatCode="_(* #,##0_);_(* \(#,##0\);_(* &quot;-&quot;??_);_(@_)">
                  <c:v>0</c:v>
                </c:pt>
                <c:pt idx="279" formatCode="_(* #,##0_);_(* \(#,##0\);_(* &quot;-&quot;??_);_(@_)">
                  <c:v>0</c:v>
                </c:pt>
                <c:pt idx="280" formatCode="_(* #,##0_);_(* \(#,##0\);_(* &quot;-&quot;??_);_(@_)">
                  <c:v>0</c:v>
                </c:pt>
                <c:pt idx="281" formatCode="_(* #,##0_);_(* \(#,##0\);_(* &quot;-&quot;??_);_(@_)">
                  <c:v>0</c:v>
                </c:pt>
                <c:pt idx="282" formatCode="_(* #,##0_);_(* \(#,##0\);_(* &quot;-&quot;??_);_(@_)">
                  <c:v>10290</c:v>
                </c:pt>
                <c:pt idx="283" formatCode="_(* #,##0_);_(* \(#,##0\);_(* &quot;-&quot;??_);_(@_)">
                  <c:v>0</c:v>
                </c:pt>
                <c:pt idx="284" formatCode="_(* #,##0_);_(* \(#,##0\);_(* &quot;-&quot;??_);_(@_)">
                  <c:v>0</c:v>
                </c:pt>
                <c:pt idx="285" formatCode="_(* #,##0_);_(* \(#,##0\);_(* &quot;-&quot;??_);_(@_)">
                  <c:v>140</c:v>
                </c:pt>
                <c:pt idx="286" formatCode="_(* #,##0_);_(* \(#,##0\);_(* &quot;-&quot;??_);_(@_)">
                  <c:v>0</c:v>
                </c:pt>
                <c:pt idx="287" formatCode="_(* #,##0_);_(* \(#,##0\);_(* &quot;-&quot;??_);_(@_)">
                  <c:v>0</c:v>
                </c:pt>
                <c:pt idx="288" formatCode="_(* #,##0_);_(* \(#,##0\);_(* &quot;-&quot;??_);_(@_)">
                  <c:v>1750</c:v>
                </c:pt>
                <c:pt idx="289" formatCode="_(* #,##0_);_(* \(#,##0\);_(* &quot;-&quot;??_);_(@_)">
                  <c:v>0</c:v>
                </c:pt>
                <c:pt idx="290" formatCode="_(* #,##0_);_(* \(#,##0\);_(* &quot;-&quot;??_);_(@_)">
                  <c:v>2800</c:v>
                </c:pt>
                <c:pt idx="291" formatCode="_(* #,##0_);_(* \(#,##0\);_(* &quot;-&quot;??_);_(@_)">
                  <c:v>1400</c:v>
                </c:pt>
                <c:pt idx="292" formatCode="_(* #,##0_);_(* \(#,##0\);_(* &quot;-&quot;??_);_(@_)">
                  <c:v>0</c:v>
                </c:pt>
                <c:pt idx="293" formatCode="_(* #,##0_);_(* \(#,##0\);_(* &quot;-&quot;??_);_(@_)">
                  <c:v>0</c:v>
                </c:pt>
                <c:pt idx="294" formatCode="_(* #,##0_);_(* \(#,##0\);_(* &quot;-&quot;??_);_(@_)">
                  <c:v>0</c:v>
                </c:pt>
                <c:pt idx="295" formatCode="_(* #,##0_);_(* \(#,##0\);_(* &quot;-&quot;??_);_(@_)">
                  <c:v>0</c:v>
                </c:pt>
                <c:pt idx="296" formatCode="_(* #,##0_);_(* \(#,##0\);_(* &quot;-&quot;??_);_(@_)">
                  <c:v>6090</c:v>
                </c:pt>
                <c:pt idx="297" formatCode="_(* #,##0_);_(* \(#,##0\);_(* &quot;-&quot;??_);_(@_)">
                  <c:v>4830</c:v>
                </c:pt>
                <c:pt idx="298" formatCode="_(* #,##0_);_(* \(#,##0\);_(* &quot;-&quot;??_);_(@_)">
                  <c:v>0</c:v>
                </c:pt>
                <c:pt idx="299" formatCode="_(* #,##0_);_(* \(#,##0\);_(* &quot;-&quot;??_);_(@_)">
                  <c:v>4830</c:v>
                </c:pt>
                <c:pt idx="300" formatCode="_(* #,##0_);_(* \(#,##0\);_(* &quot;-&quot;??_);_(@_)">
                  <c:v>198067.33333333334</c:v>
                </c:pt>
                <c:pt idx="301">
                  <c:v>0</c:v>
                </c:pt>
                <c:pt idx="302" formatCode="_(* #,##0_);_(* \(#,##0\);_(* &quot;-&quot;??_);_(@_)">
                  <c:v>0</c:v>
                </c:pt>
                <c:pt idx="303" formatCode="_(* #,##0_);_(* \(#,##0\);_(* &quot;-&quot;??_);_(@_)">
                  <c:v>175</c:v>
                </c:pt>
                <c:pt idx="304" formatCode="_(* #,##0_);_(* \(#,##0\);_(* &quot;-&quot;??_);_(@_)">
                  <c:v>700</c:v>
                </c:pt>
                <c:pt idx="305" formatCode="_(* #,##0_);_(* \(#,##0\);_(* &quot;-&quot;??_);_(@_)">
                  <c:v>50.26</c:v>
                </c:pt>
                <c:pt idx="306" formatCode="_(* #,##0_);_(* \(#,##0\);_(* &quot;-&quot;??_);_(@_)">
                  <c:v>280</c:v>
                </c:pt>
                <c:pt idx="307" formatCode="_(* #,##0_);_(* \(#,##0\);_(* &quot;-&quot;??_);_(@_)">
                  <c:v>350</c:v>
                </c:pt>
                <c:pt idx="308" formatCode="_(* #,##0_);_(* \(#,##0\);_(* &quot;-&quot;??_);_(@_)">
                  <c:v>70</c:v>
                </c:pt>
                <c:pt idx="309" formatCode="_(* #,##0_);_(* \(#,##0\);_(* &quot;-&quot;??_);_(@_)">
                  <c:v>0</c:v>
                </c:pt>
                <c:pt idx="310" formatCode="_(* #,##0_);_(* \(#,##0\);_(* &quot;-&quot;??_);_(@_)">
                  <c:v>1625.26</c:v>
                </c:pt>
                <c:pt idx="311" formatCode="_(* #,##0_);_(* \(#,##0\);_(* &quot;-&quot;??_);_(@_)">
                  <c:v>875</c:v>
                </c:pt>
                <c:pt idx="312" formatCode="_(* #,##0_);_(* \(#,##0\);_(* &quot;-&quot;??_);_(@_)">
                  <c:v>700</c:v>
                </c:pt>
                <c:pt idx="313" formatCode="_(* #,##0_);_(* \(#,##0\);_(* &quot;-&quot;??_);_(@_)">
                  <c:v>43.75</c:v>
                </c:pt>
                <c:pt idx="314" formatCode="_(* #,##0_);_(* \(#,##0\);_(* &quot;-&quot;??_);_(@_)">
                  <c:v>154</c:v>
                </c:pt>
                <c:pt idx="315" formatCode="_(* #,##0_);_(* \(#,##0\);_(* &quot;-&quot;??_);_(@_)">
                  <c:v>350</c:v>
                </c:pt>
                <c:pt idx="316" formatCode="_(* #,##0_);_(* \(#,##0\);_(* &quot;-&quot;??_);_(@_)">
                  <c:v>70</c:v>
                </c:pt>
                <c:pt idx="317" formatCode="_(* #,##0_);_(* \(#,##0\);_(* &quot;-&quot;??_);_(@_)">
                  <c:v>0</c:v>
                </c:pt>
                <c:pt idx="318" formatCode="_(* #,##0_);_(* \(#,##0\);_(* &quot;-&quot;??_);_(@_)">
                  <c:v>2192.75</c:v>
                </c:pt>
                <c:pt idx="319" formatCode="_(* #,##0_);_(* \(#,##0\);_(* &quot;-&quot;??_);_(@_)">
                  <c:v>875</c:v>
                </c:pt>
                <c:pt idx="320" formatCode="_(* #,##0_);_(* \(#,##0\);_(* &quot;-&quot;??_);_(@_)">
                  <c:v>70</c:v>
                </c:pt>
                <c:pt idx="321" formatCode="_(* #,##0_);_(* \(#,##0\);_(* &quot;-&quot;??_);_(@_)">
                  <c:v>700</c:v>
                </c:pt>
                <c:pt idx="322" formatCode="_(* #,##0_);_(* \(#,##0\);_(* &quot;-&quot;??_);_(@_)">
                  <c:v>52.5</c:v>
                </c:pt>
                <c:pt idx="323" formatCode="_(* #,##0_);_(* \(#,##0\);_(* &quot;-&quot;??_);_(@_)">
                  <c:v>280</c:v>
                </c:pt>
                <c:pt idx="324" formatCode="_(* #,##0_);_(* \(#,##0\);_(* &quot;-&quot;??_);_(@_)">
                  <c:v>350</c:v>
                </c:pt>
                <c:pt idx="325" formatCode="_(* #,##0_);_(* \(#,##0\);_(* &quot;-&quot;??_);_(@_)">
                  <c:v>0</c:v>
                </c:pt>
                <c:pt idx="326" formatCode="_(* #,##0_);_(* \(#,##0\);_(* &quot;-&quot;??_);_(@_)">
                  <c:v>2327.5</c:v>
                </c:pt>
                <c:pt idx="327" formatCode="_(* #,##0_);_(* \(#,##0\);_(* &quot;-&quot;??_);_(@_)">
                  <c:v>5250</c:v>
                </c:pt>
                <c:pt idx="328" formatCode="_(* #,##0_);_(* \(#,##0\);_(* &quot;-&quot;??_);_(@_)">
                  <c:v>350</c:v>
                </c:pt>
                <c:pt idx="329" formatCode="_(* #,##0_);_(* \(#,##0\);_(* &quot;-&quot;??_);_(@_)">
                  <c:v>87.5</c:v>
                </c:pt>
                <c:pt idx="330" formatCode="_(* #,##0_);_(* \(#,##0\);_(* &quot;-&quot;??_);_(@_)">
                  <c:v>140</c:v>
                </c:pt>
                <c:pt idx="331" formatCode="_(* #,##0_);_(* \(#,##0\);_(* &quot;-&quot;??_);_(@_)">
                  <c:v>0</c:v>
                </c:pt>
                <c:pt idx="332" formatCode="_(* #,##0_);_(* \(#,##0\);_(* &quot;-&quot;??_);_(@_)">
                  <c:v>47537.411250000005</c:v>
                </c:pt>
                <c:pt idx="333" formatCode="_(* #,##0_);_(* \(#,##0\);_(* &quot;-&quot;??_);_(@_)">
                  <c:v>53364.911250000005</c:v>
                </c:pt>
                <c:pt idx="334" formatCode="_(* #,##0_);_(* \(#,##0\);_(* &quot;-&quot;??_);_(@_)">
                  <c:v>700</c:v>
                </c:pt>
                <c:pt idx="335" formatCode="_(* #,##0_);_(* \(#,##0\);_(* &quot;-&quot;??_);_(@_)">
                  <c:v>70</c:v>
                </c:pt>
                <c:pt idx="336" formatCode="_(* #,##0_);_(* \(#,##0\);_(* &quot;-&quot;??_);_(@_)">
                  <c:v>700</c:v>
                </c:pt>
                <c:pt idx="337" formatCode="_(* #,##0_);_(* \(#,##0\);_(* &quot;-&quot;??_);_(@_)">
                  <c:v>43.75</c:v>
                </c:pt>
                <c:pt idx="338" formatCode="_(* #,##0_);_(* \(#,##0\);_(* &quot;-&quot;??_);_(@_)">
                  <c:v>168</c:v>
                </c:pt>
                <c:pt idx="339" formatCode="_(* #,##0_);_(* \(#,##0\);_(* &quot;-&quot;??_);_(@_)">
                  <c:v>0</c:v>
                </c:pt>
                <c:pt idx="340" formatCode="_(* #,##0_);_(* \(#,##0\);_(* &quot;-&quot;??_);_(@_)">
                  <c:v>5468.75</c:v>
                </c:pt>
                <c:pt idx="341" formatCode="_(* #,##0_);_(* \(#,##0\);_(* &quot;-&quot;??_);_(@_)">
                  <c:v>7150.5</c:v>
                </c:pt>
                <c:pt idx="342" formatCode="_(* #,##0_);_(* \(#,##0\);_(* &quot;-&quot;??_);_(@_)">
                  <c:v>700</c:v>
                </c:pt>
                <c:pt idx="343" formatCode="_(* #,##0_);_(* \(#,##0\);_(* &quot;-&quot;??_);_(@_)">
                  <c:v>933.33333333333337</c:v>
                </c:pt>
                <c:pt idx="344" formatCode="_(* #,##0_);_(* \(#,##0\);_(* &quot;-&quot;??_);_(@_)">
                  <c:v>43.75</c:v>
                </c:pt>
                <c:pt idx="345" formatCode="_(* #,##0_);_(* \(#,##0\);_(* &quot;-&quot;??_);_(@_)">
                  <c:v>168</c:v>
                </c:pt>
                <c:pt idx="346" formatCode="_(* #,##0_);_(* \(#,##0\);_(* &quot;-&quot;??_);_(@_)">
                  <c:v>0</c:v>
                </c:pt>
                <c:pt idx="347" formatCode="_(* #,##0_);_(* \(#,##0\);_(* &quot;-&quot;??_);_(@_)">
                  <c:v>1845.0833333333335</c:v>
                </c:pt>
                <c:pt idx="348" formatCode="_(* #,##0_);_(* \(#,##0\);_(* &quot;-&quot;??_);_(@_)">
                  <c:v>2625</c:v>
                </c:pt>
                <c:pt idx="349" formatCode="_(* #,##0_);_(* \(#,##0\);_(* &quot;-&quot;??_);_(@_)">
                  <c:v>140</c:v>
                </c:pt>
                <c:pt idx="350" formatCode="_(* #,##0_);_(* \(#,##0\);_(* &quot;-&quot;??_);_(@_)">
                  <c:v>466.66666666666669</c:v>
                </c:pt>
                <c:pt idx="351" formatCode="_(* #,##0_);_(* \(#,##0\);_(* &quot;-&quot;??_);_(@_)">
                  <c:v>1633.3333333333335</c:v>
                </c:pt>
                <c:pt idx="352" formatCode="_(* #,##0_);_(* \(#,##0\);_(* &quot;-&quot;??_);_(@_)">
                  <c:v>52.5</c:v>
                </c:pt>
                <c:pt idx="353" formatCode="_(* #,##0_);_(* \(#,##0\);_(* &quot;-&quot;??_);_(@_)">
                  <c:v>280</c:v>
                </c:pt>
                <c:pt idx="354" formatCode="_(* #,##0_);_(* \(#,##0\);_(* &quot;-&quot;??_);_(@_)">
                  <c:v>350</c:v>
                </c:pt>
                <c:pt idx="355" formatCode="_(* #,##0_);_(* \(#,##0\);_(* &quot;-&quot;??_);_(@_)">
                  <c:v>0</c:v>
                </c:pt>
                <c:pt idx="356" formatCode="_(* #,##0_);_(* \(#,##0\);_(* &quot;-&quot;??_);_(@_)">
                  <c:v>2315.8333333333335</c:v>
                </c:pt>
                <c:pt idx="357" formatCode="_(* #,##0_);_(* \(#,##0\);_(* &quot;-&quot;??_);_(@_)">
                  <c:v>525</c:v>
                </c:pt>
                <c:pt idx="358" formatCode="_(* #,##0_);_(* \(#,##0\);_(* &quot;-&quot;??_);_(@_)">
                  <c:v>466.66666666666669</c:v>
                </c:pt>
                <c:pt idx="359" formatCode="_(* #,##0_);_(* \(#,##0\);_(* &quot;-&quot;??_);_(@_)">
                  <c:v>52.5</c:v>
                </c:pt>
                <c:pt idx="360" formatCode="_(* #,##0_);_(* \(#,##0\);_(* &quot;-&quot;??_);_(@_)">
                  <c:v>210</c:v>
                </c:pt>
                <c:pt idx="361" formatCode="_(* #,##0_);_(* \(#,##0\);_(* &quot;-&quot;??_);_(@_)">
                  <c:v>70</c:v>
                </c:pt>
                <c:pt idx="362" formatCode="_(* #,##0_);_(* \(#,##0\);_(* &quot;-&quot;??_);_(@_)">
                  <c:v>0</c:v>
                </c:pt>
                <c:pt idx="363" formatCode="_(* #,##0_);_(* \(#,##0\);_(* &quot;-&quot;??_);_(@_)">
                  <c:v>0</c:v>
                </c:pt>
                <c:pt idx="364" formatCode="_(* #,##0_);_(* \(#,##0\);_(* &quot;-&quot;??_);_(@_)">
                  <c:v>1324.1666666666667</c:v>
                </c:pt>
                <c:pt idx="365" formatCode="_(* #,##0_);_(* \(#,##0\);_(* &quot;-&quot;??_);_(@_)">
                  <c:v>875</c:v>
                </c:pt>
                <c:pt idx="366" formatCode="_(* #,##0_);_(* \(#,##0\);_(* &quot;-&quot;??_);_(@_)">
                  <c:v>70</c:v>
                </c:pt>
                <c:pt idx="367" formatCode="_(* #,##0_);_(* \(#,##0\);_(* &quot;-&quot;??_);_(@_)">
                  <c:v>4200</c:v>
                </c:pt>
                <c:pt idx="368" formatCode="_(* #,##0_);_(* \(#,##0\);_(* &quot;-&quot;??_);_(@_)">
                  <c:v>52.5</c:v>
                </c:pt>
                <c:pt idx="369" formatCode="_(* #,##0_);_(* \(#,##0\);_(* &quot;-&quot;??_);_(@_)">
                  <c:v>210</c:v>
                </c:pt>
                <c:pt idx="370" formatCode="_(* #,##0_);_(* \(#,##0\);_(* &quot;-&quot;??_);_(@_)">
                  <c:v>350</c:v>
                </c:pt>
                <c:pt idx="371" formatCode="_(* #,##0_);_(* \(#,##0\);_(* &quot;-&quot;??_);_(@_)">
                  <c:v>0</c:v>
                </c:pt>
                <c:pt idx="372" formatCode="_(* #,##0_);_(* \(#,##0\);_(* &quot;-&quot;??_);_(@_)">
                  <c:v>5757.5</c:v>
                </c:pt>
                <c:pt idx="373" formatCode="_(* #,##0_);_(* \(#,##0\);_(* &quot;-&quot;??_);_(@_)">
                  <c:v>1050</c:v>
                </c:pt>
                <c:pt idx="374" formatCode="_(* #,##0_);_(* \(#,##0\);_(* &quot;-&quot;??_);_(@_)">
                  <c:v>70</c:v>
                </c:pt>
                <c:pt idx="375" formatCode="_(* #,##0_);_(* \(#,##0\);_(* &quot;-&quot;??_);_(@_)">
                  <c:v>466.66666666666669</c:v>
                </c:pt>
                <c:pt idx="376" formatCode="_(* #,##0_);_(* \(#,##0\);_(* &quot;-&quot;??_);_(@_)">
                  <c:v>3500</c:v>
                </c:pt>
                <c:pt idx="377" formatCode="_(* #,##0_);_(* \(#,##0\);_(* &quot;-&quot;??_);_(@_)">
                  <c:v>52.5</c:v>
                </c:pt>
                <c:pt idx="378" formatCode="_(* #,##0_);_(* \(#,##0\);_(* &quot;-&quot;??_);_(@_)">
                  <c:v>168</c:v>
                </c:pt>
                <c:pt idx="379" formatCode="_(* #,##0_);_(* \(#,##0\);_(* &quot;-&quot;??_);_(@_)">
                  <c:v>350</c:v>
                </c:pt>
                <c:pt idx="380" formatCode="_(* #,##0_);_(* \(#,##0\);_(* &quot;-&quot;??_);_(@_)">
                  <c:v>0</c:v>
                </c:pt>
                <c:pt idx="381" formatCode="_(* #,##0_);_(* \(#,##0\);_(* &quot;-&quot;??_);_(@_)">
                  <c:v>5657.166666666667</c:v>
                </c:pt>
                <c:pt idx="382" formatCode="_(* #,##0_);_(* \(#,##0\);_(* &quot;-&quot;??_);_(@_)">
                  <c:v>875</c:v>
                </c:pt>
                <c:pt idx="383" formatCode="_(* #,##0_);_(* \(#,##0\);_(* &quot;-&quot;??_);_(@_)">
                  <c:v>70</c:v>
                </c:pt>
                <c:pt idx="384" formatCode="_(* #,##0_);_(* \(#,##0\);_(* &quot;-&quot;??_);_(@_)">
                  <c:v>1166.6666666666665</c:v>
                </c:pt>
                <c:pt idx="385" formatCode="_(* #,##0_);_(* \(#,##0\);_(* &quot;-&quot;??_);_(@_)">
                  <c:v>52.5</c:v>
                </c:pt>
                <c:pt idx="386" formatCode="_(* #,##0_);_(* \(#,##0\);_(* &quot;-&quot;??_);_(@_)">
                  <c:v>280</c:v>
                </c:pt>
                <c:pt idx="387" formatCode="_(* #,##0_);_(* \(#,##0\);_(* &quot;-&quot;??_);_(@_)">
                  <c:v>350</c:v>
                </c:pt>
                <c:pt idx="388" formatCode="_(* #,##0_);_(* \(#,##0\);_(* &quot;-&quot;??_);_(@_)">
                  <c:v>0</c:v>
                </c:pt>
                <c:pt idx="389" formatCode="_(* #,##0_);_(* \(#,##0\);_(* &quot;-&quot;??_);_(@_)">
                  <c:v>2794.1666666666665</c:v>
                </c:pt>
                <c:pt idx="390" formatCode="_(* #,##0_);_(* \(#,##0\);_(* &quot;-&quot;??_);_(@_)">
                  <c:v>1050</c:v>
                </c:pt>
                <c:pt idx="391" formatCode="_(* #,##0_);_(* \(#,##0\);_(* &quot;-&quot;??_);_(@_)">
                  <c:v>70</c:v>
                </c:pt>
                <c:pt idx="392" formatCode="_(* #,##0_);_(* \(#,##0\);_(* &quot;-&quot;??_);_(@_)">
                  <c:v>1166.6666666666665</c:v>
                </c:pt>
                <c:pt idx="393" formatCode="_(* #,##0_);_(* \(#,##0\);_(* &quot;-&quot;??_);_(@_)">
                  <c:v>43.75</c:v>
                </c:pt>
                <c:pt idx="394" formatCode="_(* #,##0_);_(* \(#,##0\);_(* &quot;-&quot;??_);_(@_)">
                  <c:v>210</c:v>
                </c:pt>
                <c:pt idx="395" formatCode="_(* #,##0_);_(* \(#,##0\);_(* &quot;-&quot;??_);_(@_)">
                  <c:v>1837.5</c:v>
                </c:pt>
                <c:pt idx="396" formatCode="_(* #,##0_);_(* \(#,##0\);_(* &quot;-&quot;??_);_(@_)">
                  <c:v>0</c:v>
                </c:pt>
                <c:pt idx="397" formatCode="_(* #,##0_);_(* \(#,##0\);_(* &quot;-&quot;??_);_(@_)">
                  <c:v>4377.9166666666661</c:v>
                </c:pt>
                <c:pt idx="398" formatCode="_(* #,##0_);_(* \(#,##0\);_(* &quot;-&quot;??_);_(@_)">
                  <c:v>1050</c:v>
                </c:pt>
                <c:pt idx="399" formatCode="_(* #,##0_);_(* \(#,##0\);_(* &quot;-&quot;??_);_(@_)">
                  <c:v>70</c:v>
                </c:pt>
                <c:pt idx="400" formatCode="_(* #,##0_);_(* \(#,##0\);_(* &quot;-&quot;??_);_(@_)">
                  <c:v>1166.6666666666665</c:v>
                </c:pt>
                <c:pt idx="401" formatCode="_(* #,##0_);_(* \(#,##0\);_(* &quot;-&quot;??_);_(@_)">
                  <c:v>350</c:v>
                </c:pt>
                <c:pt idx="402" formatCode="_(* #,##0_);_(* \(#,##0\);_(* &quot;-&quot;??_);_(@_)">
                  <c:v>52.5</c:v>
                </c:pt>
                <c:pt idx="403" formatCode="_(* #,##0_);_(* \(#,##0\);_(* &quot;-&quot;??_);_(@_)">
                  <c:v>150.5</c:v>
                </c:pt>
                <c:pt idx="404" formatCode="_(* #,##0_);_(* \(#,##0\);_(* &quot;-&quot;??_);_(@_)">
                  <c:v>350</c:v>
                </c:pt>
                <c:pt idx="405" formatCode="_(* #,##0_);_(* \(#,##0\);_(* &quot;-&quot;??_);_(@_)">
                  <c:v>1837.5</c:v>
                </c:pt>
                <c:pt idx="406" formatCode="_(* #,##0_);_(* \(#,##0\);_(* &quot;-&quot;??_);_(@_)">
                  <c:v>0</c:v>
                </c:pt>
                <c:pt idx="407" formatCode="_(* #,##0_);_(* \(#,##0\);_(* &quot;-&quot;??_);_(@_)">
                  <c:v>5027.1666666666661</c:v>
                </c:pt>
                <c:pt idx="408" formatCode="_(* #,##0_);_(* \(#,##0\);_(* &quot;-&quot;??_);_(@_)">
                  <c:v>875</c:v>
                </c:pt>
                <c:pt idx="409" formatCode="_(* #,##0_);_(* \(#,##0\);_(* &quot;-&quot;??_);_(@_)">
                  <c:v>700</c:v>
                </c:pt>
                <c:pt idx="410" formatCode="_(* #,##0_);_(* \(#,##0\);_(* &quot;-&quot;??_);_(@_)">
                  <c:v>43.75</c:v>
                </c:pt>
                <c:pt idx="411" formatCode="_(* #,##0_);_(* \(#,##0\);_(* &quot;-&quot;??_);_(@_)">
                  <c:v>210</c:v>
                </c:pt>
                <c:pt idx="412" formatCode="_(* #,##0_);_(* \(#,##0\);_(* &quot;-&quot;??_);_(@_)">
                  <c:v>70</c:v>
                </c:pt>
                <c:pt idx="413" formatCode="_(* #,##0_);_(* \(#,##0\);_(* &quot;-&quot;??_);_(@_)">
                  <c:v>0</c:v>
                </c:pt>
                <c:pt idx="414" formatCode="_(* #,##0_);_(* \(#,##0\);_(* &quot;-&quot;??_);_(@_)">
                  <c:v>0</c:v>
                </c:pt>
                <c:pt idx="415" formatCode="_(* #,##0_);_(* \(#,##0\);_(* &quot;-&quot;??_);_(@_)">
                  <c:v>1898.75</c:v>
                </c:pt>
                <c:pt idx="416" formatCode="_(* #,##0_);_(* \(#,##0\);_(* &quot;-&quot;??_);_(@_)">
                  <c:v>1750</c:v>
                </c:pt>
                <c:pt idx="417" formatCode="_(* #,##0_);_(* \(#,##0\);_(* &quot;-&quot;??_);_(@_)">
                  <c:v>43.75</c:v>
                </c:pt>
                <c:pt idx="418" formatCode="_(* #,##0_);_(* \(#,##0\);_(* &quot;-&quot;??_);_(@_)">
                  <c:v>140</c:v>
                </c:pt>
                <c:pt idx="419" formatCode="_(* #,##0_);_(* \(#,##0\);_(* &quot;-&quot;??_);_(@_)">
                  <c:v>70</c:v>
                </c:pt>
                <c:pt idx="420" formatCode="_(* #,##0_);_(* \(#,##0\);_(* &quot;-&quot;??_);_(@_)">
                  <c:v>1312.5</c:v>
                </c:pt>
                <c:pt idx="421" formatCode="_(* #,##0_);_(* \(#,##0\);_(* &quot;-&quot;??_);_(@_)">
                  <c:v>0</c:v>
                </c:pt>
                <c:pt idx="422" formatCode="_(* #,##0_);_(* \(#,##0\);_(* &quot;-&quot;??_);_(@_)">
                  <c:v>3316.25</c:v>
                </c:pt>
                <c:pt idx="423" formatCode="_(* #,##0_);_(* \(#,##0\);_(* &quot;-&quot;??_);_(@_)">
                  <c:v>2625</c:v>
                </c:pt>
                <c:pt idx="424" formatCode="_(* #,##0_);_(* \(#,##0\);_(* &quot;-&quot;??_);_(@_)">
                  <c:v>140</c:v>
                </c:pt>
                <c:pt idx="425" formatCode="_(* #,##0_);_(* \(#,##0\);_(* &quot;-&quot;??_);_(@_)">
                  <c:v>933.33333333333337</c:v>
                </c:pt>
                <c:pt idx="426" formatCode="_(* #,##0_);_(* \(#,##0\);_(* &quot;-&quot;??_);_(@_)">
                  <c:v>4900</c:v>
                </c:pt>
                <c:pt idx="427" formatCode="_(* #,##0_);_(* \(#,##0\);_(* &quot;-&quot;??_);_(@_)">
                  <c:v>52.5</c:v>
                </c:pt>
                <c:pt idx="428" formatCode="_(* #,##0_);_(* \(#,##0\);_(* &quot;-&quot;??_);_(@_)">
                  <c:v>280</c:v>
                </c:pt>
                <c:pt idx="429" formatCode="_(* #,##0_);_(* \(#,##0\);_(* &quot;-&quot;??_);_(@_)">
                  <c:v>525</c:v>
                </c:pt>
                <c:pt idx="430" formatCode="_(* #,##0_);_(* \(#,##0\);_(* &quot;-&quot;??_);_(@_)">
                  <c:v>2333.333333333333</c:v>
                </c:pt>
                <c:pt idx="431" formatCode="_(* #,##0_);_(* \(#,##0\);_(* &quot;-&quot;??_);_(@_)">
                  <c:v>1166.6666666666665</c:v>
                </c:pt>
                <c:pt idx="432" formatCode="_(* #,##0_);_(* \(#,##0\);_(* &quot;-&quot;??_);_(@_)">
                  <c:v>1166.6666666666665</c:v>
                </c:pt>
                <c:pt idx="433" formatCode="_(* #,##0_);_(* \(#,##0\);_(* &quot;-&quot;??_);_(@_)">
                  <c:v>245</c:v>
                </c:pt>
                <c:pt idx="434" formatCode="_(* #,##0_);_(* \(#,##0\);_(* &quot;-&quot;??_);_(@_)">
                  <c:v>0</c:v>
                </c:pt>
                <c:pt idx="435" formatCode="_(* #,##0_);_(* \(#,##0\);_(* &quot;-&quot;??_);_(@_)">
                  <c:v>245</c:v>
                </c:pt>
                <c:pt idx="436" formatCode="_(* #,##0_);_(* \(#,##0\);_(* &quot;-&quot;??_);_(@_)">
                  <c:v>0</c:v>
                </c:pt>
                <c:pt idx="437" formatCode="_(* #,##0_);_(* \(#,##0\);_(* &quot;-&quot;??_);_(@_)">
                  <c:v>0</c:v>
                </c:pt>
                <c:pt idx="438" formatCode="_(* #,##0_);_(* \(#,##0\);_(* &quot;-&quot;??_);_(@_)">
                  <c:v>14612.5</c:v>
                </c:pt>
                <c:pt idx="439" formatCode="_(* #,##0_);_(* \(#,##0\);_(* &quot;-&quot;??_);_(@_)">
                  <c:v>700</c:v>
                </c:pt>
                <c:pt idx="440" formatCode="_(* #,##0_);_(* \(#,##0\);_(* &quot;-&quot;??_);_(@_)">
                  <c:v>700</c:v>
                </c:pt>
                <c:pt idx="441" formatCode="_(* #,##0_);_(* \(#,##0\);_(* &quot;-&quot;??_);_(@_)">
                  <c:v>43.75</c:v>
                </c:pt>
                <c:pt idx="442" formatCode="_(* #,##0_);_(* \(#,##0\);_(* &quot;-&quot;??_);_(@_)">
                  <c:v>140</c:v>
                </c:pt>
                <c:pt idx="443" formatCode="_(* #,##0_);_(* \(#,##0\);_(* &quot;-&quot;??_);_(@_)">
                  <c:v>350</c:v>
                </c:pt>
                <c:pt idx="444" formatCode="_(* #,##0_);_(* \(#,##0\);_(* &quot;-&quot;??_);_(@_)">
                  <c:v>70</c:v>
                </c:pt>
                <c:pt idx="445" formatCode="_(* #,##0_);_(* \(#,##0\);_(* &quot;-&quot;??_);_(@_)">
                  <c:v>0</c:v>
                </c:pt>
                <c:pt idx="446" formatCode="_(* #,##0_);_(* \(#,##0\);_(* &quot;-&quot;??_);_(@_)">
                  <c:v>2003.75</c:v>
                </c:pt>
                <c:pt idx="447" formatCode="_(* #,##0_);_(* \(#,##0\);_(* &quot;-&quot;??_);_(@_)">
                  <c:v>700</c:v>
                </c:pt>
                <c:pt idx="448" formatCode="_(* #,##0_);_(* \(#,##0\);_(* &quot;-&quot;??_);_(@_)">
                  <c:v>700</c:v>
                </c:pt>
                <c:pt idx="449" formatCode="_(* #,##0_);_(* \(#,##0\);_(* &quot;-&quot;??_);_(@_)">
                  <c:v>1166.6666666666665</c:v>
                </c:pt>
                <c:pt idx="450" formatCode="_(* #,##0_);_(* \(#,##0\);_(* &quot;-&quot;??_);_(@_)">
                  <c:v>52.5</c:v>
                </c:pt>
                <c:pt idx="451" formatCode="_(* #,##0_);_(* \(#,##0\);_(* &quot;-&quot;??_);_(@_)">
                  <c:v>210</c:v>
                </c:pt>
                <c:pt idx="452" formatCode="_(* #,##0_);_(* \(#,##0\);_(* &quot;-&quot;??_);_(@_)">
                  <c:v>350</c:v>
                </c:pt>
                <c:pt idx="453" formatCode="_(* #,##0_);_(* \(#,##0\);_(* &quot;-&quot;??_);_(@_)">
                  <c:v>70</c:v>
                </c:pt>
                <c:pt idx="454" formatCode="_(* #,##0_);_(* \(#,##0\);_(* &quot;-&quot;??_);_(@_)">
                  <c:v>0</c:v>
                </c:pt>
                <c:pt idx="455" formatCode="_(* #,##0_);_(* \(#,##0\);_(* &quot;-&quot;??_);_(@_)">
                  <c:v>3249.1666666666665</c:v>
                </c:pt>
                <c:pt idx="456" formatCode="_(* #,##0_);_(* \(#,##0\);_(* &quot;-&quot;??_);_(@_)">
                  <c:v>1400</c:v>
                </c:pt>
                <c:pt idx="457" formatCode="_(* #,##0_);_(* \(#,##0\);_(* &quot;-&quot;??_);_(@_)">
                  <c:v>140</c:v>
                </c:pt>
                <c:pt idx="458" formatCode="_(* #,##0_);_(* \(#,##0\);_(* &quot;-&quot;??_);_(@_)">
                  <c:v>4200</c:v>
                </c:pt>
                <c:pt idx="459" formatCode="_(* #,##0_);_(* \(#,##0\);_(* &quot;-&quot;??_);_(@_)">
                  <c:v>61.25</c:v>
                </c:pt>
                <c:pt idx="460" formatCode="_(* #,##0_);_(* \(#,##0\);_(* &quot;-&quot;??_);_(@_)">
                  <c:v>210</c:v>
                </c:pt>
                <c:pt idx="461" formatCode="_(* #,##0_);_(* \(#,##0\);_(* &quot;-&quot;??_);_(@_)">
                  <c:v>1050</c:v>
                </c:pt>
                <c:pt idx="462" formatCode="_(* #,##0_);_(* \(#,##0\);_(* &quot;-&quot;??_);_(@_)">
                  <c:v>0</c:v>
                </c:pt>
                <c:pt idx="463" formatCode="_(* #,##0_);_(* \(#,##0\);_(* &quot;-&quot;??_);_(@_)">
                  <c:v>7061.25</c:v>
                </c:pt>
                <c:pt idx="464" formatCode="_(* #,##0_);_(* \(#,##0\);_(* &quot;-&quot;??_);_(@_)">
                  <c:v>1050</c:v>
                </c:pt>
                <c:pt idx="465" formatCode="_(* #,##0_);_(* \(#,##0\);_(* &quot;-&quot;??_);_(@_)">
                  <c:v>70</c:v>
                </c:pt>
                <c:pt idx="466" formatCode="_(* #,##0_);_(* \(#,##0\);_(* &quot;-&quot;??_);_(@_)">
                  <c:v>466.66666666666669</c:v>
                </c:pt>
                <c:pt idx="467" formatCode="_(* #,##0_);_(* \(#,##0\);_(* &quot;-&quot;??_);_(@_)">
                  <c:v>4200</c:v>
                </c:pt>
                <c:pt idx="468" formatCode="_(* #,##0_);_(* \(#,##0\);_(* &quot;-&quot;??_);_(@_)">
                  <c:v>52.5</c:v>
                </c:pt>
                <c:pt idx="469" formatCode="_(* #,##0_);_(* \(#,##0\);_(* &quot;-&quot;??_);_(@_)">
                  <c:v>210</c:v>
                </c:pt>
                <c:pt idx="470" formatCode="_(* #,##0_);_(* \(#,##0\);_(* &quot;-&quot;??_);_(@_)">
                  <c:v>350</c:v>
                </c:pt>
                <c:pt idx="471" formatCode="_(* #,##0_);_(* \(#,##0\);_(* &quot;-&quot;??_);_(@_)">
                  <c:v>0</c:v>
                </c:pt>
                <c:pt idx="472" formatCode="_(* #,##0_);_(* \(#,##0\);_(* &quot;-&quot;??_);_(@_)">
                  <c:v>6399.166666666667</c:v>
                </c:pt>
                <c:pt idx="473" formatCode="_(* #,##0_);_(* \(#,##0\);_(* &quot;-&quot;??_);_(@_)">
                  <c:v>1050</c:v>
                </c:pt>
                <c:pt idx="474" formatCode="_(* #,##0_);_(* \(#,##0\);_(* &quot;-&quot;??_);_(@_)">
                  <c:v>1166.6666666666665</c:v>
                </c:pt>
                <c:pt idx="475" formatCode="_(* #,##0_);_(* \(#,##0\);_(* &quot;-&quot;??_);_(@_)">
                  <c:v>61.25</c:v>
                </c:pt>
                <c:pt idx="476" formatCode="_(* #,##0_);_(* \(#,##0\);_(* &quot;-&quot;??_);_(@_)">
                  <c:v>210</c:v>
                </c:pt>
                <c:pt idx="477" formatCode="_(* #,##0_);_(* \(#,##0\);_(* &quot;-&quot;??_);_(@_)">
                  <c:v>350</c:v>
                </c:pt>
                <c:pt idx="478" formatCode="_(* #,##0_);_(* \(#,##0\);_(* &quot;-&quot;??_);_(@_)">
                  <c:v>70</c:v>
                </c:pt>
                <c:pt idx="479" formatCode="_(* #,##0_);_(* \(#,##0\);_(* &quot;-&quot;??_);_(@_)">
                  <c:v>0</c:v>
                </c:pt>
                <c:pt idx="480" formatCode="_(* #,##0_);_(* \(#,##0\);_(* &quot;-&quot;??_);_(@_)">
                  <c:v>2907.9166666666665</c:v>
                </c:pt>
                <c:pt idx="481" formatCode="_(* #,##0_);_(* \(#,##0\);_(* &quot;-&quot;??_);_(@_)">
                  <c:v>1750</c:v>
                </c:pt>
                <c:pt idx="482" formatCode="_(* #,##0_);_(* \(#,##0\);_(* &quot;-&quot;??_);_(@_)">
                  <c:v>1400</c:v>
                </c:pt>
                <c:pt idx="483" formatCode="_(* #,##0_);_(* \(#,##0\);_(* &quot;-&quot;??_);_(@_)">
                  <c:v>52.5</c:v>
                </c:pt>
                <c:pt idx="484" formatCode="_(* #,##0_);_(* \(#,##0\);_(* &quot;-&quot;??_);_(@_)">
                  <c:v>210</c:v>
                </c:pt>
                <c:pt idx="485" formatCode="_(* #,##0_);_(* \(#,##0\);_(* &quot;-&quot;??_);_(@_)">
                  <c:v>420</c:v>
                </c:pt>
                <c:pt idx="486" formatCode="_(* #,##0_);_(* \(#,##0\);_(* &quot;-&quot;??_);_(@_)">
                  <c:v>140</c:v>
                </c:pt>
                <c:pt idx="487" formatCode="_(* #,##0_);_(* \(#,##0\);_(* &quot;-&quot;??_);_(@_)">
                  <c:v>0</c:v>
                </c:pt>
                <c:pt idx="488" formatCode="_(* #,##0_);_(* \(#,##0\);_(* &quot;-&quot;??_);_(@_)">
                  <c:v>3972.5</c:v>
                </c:pt>
                <c:pt idx="489" formatCode="_(* #,##0_);_(* \(#,##0\);_(* &quot;-&quot;??_);_(@_)">
                  <c:v>1400</c:v>
                </c:pt>
                <c:pt idx="490" formatCode="_(* #,##0_);_(* \(#,##0\);_(* &quot;-&quot;??_);_(@_)">
                  <c:v>1400</c:v>
                </c:pt>
                <c:pt idx="491" formatCode="_(* #,##0_);_(* \(#,##0\);_(* &quot;-&quot;??_);_(@_)">
                  <c:v>52.5</c:v>
                </c:pt>
                <c:pt idx="492" formatCode="_(* #,##0_);_(* \(#,##0\);_(* &quot;-&quot;??_);_(@_)">
                  <c:v>210</c:v>
                </c:pt>
                <c:pt idx="493" formatCode="_(* #,##0_);_(* \(#,##0\);_(* &quot;-&quot;??_);_(@_)">
                  <c:v>350</c:v>
                </c:pt>
                <c:pt idx="494" formatCode="_(* #,##0_);_(* \(#,##0\);_(* &quot;-&quot;??_);_(@_)">
                  <c:v>70</c:v>
                </c:pt>
                <c:pt idx="495" formatCode="_(* #,##0_);_(* \(#,##0\);_(* &quot;-&quot;??_);_(@_)">
                  <c:v>0</c:v>
                </c:pt>
                <c:pt idx="496" formatCode="_(* #,##0_);_(* \(#,##0\);_(* &quot;-&quot;??_);_(@_)">
                  <c:v>3482.5</c:v>
                </c:pt>
                <c:pt idx="497" formatCode="_(* #,##0_);_(* \(#,##0\);_(* &quot;-&quot;??_);_(@_)">
                  <c:v>2625</c:v>
                </c:pt>
                <c:pt idx="498" formatCode="_(* #,##0_);_(* \(#,##0\);_(* &quot;-&quot;??_);_(@_)">
                  <c:v>1166.6666666666665</c:v>
                </c:pt>
                <c:pt idx="499" formatCode="_(* #,##0_);_(* \(#,##0\);_(* &quot;-&quot;??_);_(@_)">
                  <c:v>52.5</c:v>
                </c:pt>
                <c:pt idx="500" formatCode="_(* #,##0_);_(* \(#,##0\);_(* &quot;-&quot;??_);_(@_)">
                  <c:v>210</c:v>
                </c:pt>
                <c:pt idx="501" formatCode="_(* #,##0_);_(* \(#,##0\);_(* &quot;-&quot;??_);_(@_)">
                  <c:v>350</c:v>
                </c:pt>
                <c:pt idx="502" formatCode="_(* #,##0_);_(* \(#,##0\);_(* &quot;-&quot;??_);_(@_)">
                  <c:v>140</c:v>
                </c:pt>
                <c:pt idx="503" formatCode="_(* #,##0_);_(* \(#,##0\);_(* &quot;-&quot;??_);_(@_)">
                  <c:v>0</c:v>
                </c:pt>
                <c:pt idx="504" formatCode="_(* #,##0_);_(* \(#,##0\);_(* &quot;-&quot;??_);_(@_)">
                  <c:v>4544.1666666666661</c:v>
                </c:pt>
                <c:pt idx="505" formatCode="_(* #,##0_);_(* \(#,##0\);_(* &quot;-&quot;??_);_(@_)">
                  <c:v>2450</c:v>
                </c:pt>
                <c:pt idx="506" formatCode="_(* #,##0_);_(* \(#,##0\);_(* &quot;-&quot;??_);_(@_)">
                  <c:v>140</c:v>
                </c:pt>
                <c:pt idx="507" formatCode="_(* #,##0_);_(* \(#,##0\);_(* &quot;-&quot;??_);_(@_)">
                  <c:v>4200</c:v>
                </c:pt>
                <c:pt idx="508" formatCode="_(* #,##0_);_(* \(#,##0\);_(* &quot;-&quot;??_);_(@_)">
                  <c:v>52.5</c:v>
                </c:pt>
                <c:pt idx="509" formatCode="_(* #,##0_);_(* \(#,##0\);_(* &quot;-&quot;??_);_(@_)">
                  <c:v>210</c:v>
                </c:pt>
                <c:pt idx="510" formatCode="_(* #,##0_);_(* \(#,##0\);_(* &quot;-&quot;??_);_(@_)">
                  <c:v>700</c:v>
                </c:pt>
                <c:pt idx="511" formatCode="_(* #,##0_);_(* \(#,##0\);_(* &quot;-&quot;??_);_(@_)">
                  <c:v>0</c:v>
                </c:pt>
                <c:pt idx="512" formatCode="_(* #,##0_);_(* \(#,##0\);_(* &quot;-&quot;??_);_(@_)">
                  <c:v>7752.5</c:v>
                </c:pt>
                <c:pt idx="513" formatCode="_(* #,##0_);_(* \(#,##0\);_(* &quot;-&quot;??_);_(@_)">
                  <c:v>1400</c:v>
                </c:pt>
                <c:pt idx="514" formatCode="_(* #,##0_);_(* \(#,##0\);_(* &quot;-&quot;??_);_(@_)">
                  <c:v>70</c:v>
                </c:pt>
                <c:pt idx="515" formatCode="_(* #,##0_);_(* \(#,##0\);_(* &quot;-&quot;??_);_(@_)">
                  <c:v>52.5</c:v>
                </c:pt>
                <c:pt idx="516" formatCode="_(* #,##0_);_(* \(#,##0\);_(* &quot;-&quot;??_);_(@_)">
                  <c:v>140</c:v>
                </c:pt>
                <c:pt idx="517" formatCode="_(* #,##0_);_(* \(#,##0\);_(* &quot;-&quot;??_);_(@_)">
                  <c:v>2362.5</c:v>
                </c:pt>
                <c:pt idx="518" formatCode="_(* #,##0_);_(* \(#,##0\);_(* &quot;-&quot;??_);_(@_)">
                  <c:v>0</c:v>
                </c:pt>
                <c:pt idx="519" formatCode="_(* #,##0_);_(* \(#,##0\);_(* &quot;-&quot;??_);_(@_)">
                  <c:v>4025</c:v>
                </c:pt>
                <c:pt idx="520" formatCode="_(* #,##0_);_(* \(#,##0\);_(* &quot;-&quot;??_);_(@_)">
                  <c:v>1400</c:v>
                </c:pt>
                <c:pt idx="521" formatCode="_(* #,##0_);_(* \(#,##0\);_(* &quot;-&quot;??_);_(@_)">
                  <c:v>70</c:v>
                </c:pt>
                <c:pt idx="522" formatCode="_(* #,##0_);_(* \(#,##0\);_(* &quot;-&quot;??_);_(@_)">
                  <c:v>1400</c:v>
                </c:pt>
                <c:pt idx="523" formatCode="_(* #,##0_);_(* \(#,##0\);_(* &quot;-&quot;??_);_(@_)">
                  <c:v>52.5</c:v>
                </c:pt>
                <c:pt idx="524" formatCode="_(* #,##0_);_(* \(#,##0\);_(* &quot;-&quot;??_);_(@_)">
                  <c:v>168</c:v>
                </c:pt>
                <c:pt idx="525" formatCode="_(* #,##0_);_(* \(#,##0\);_(* &quot;-&quot;??_);_(@_)">
                  <c:v>350</c:v>
                </c:pt>
                <c:pt idx="526" formatCode="_(* #,##0_);_(* \(#,##0\);_(* &quot;-&quot;??_);_(@_)">
                  <c:v>0</c:v>
                </c:pt>
                <c:pt idx="527" formatCode="_(* #,##0_);_(* \(#,##0\);_(* &quot;-&quot;??_);_(@_)">
                  <c:v>3440.5</c:v>
                </c:pt>
                <c:pt idx="528" formatCode="_(* #,##0_);_(* \(#,##0\);_(* &quot;-&quot;??_);_(@_)">
                  <c:v>1225</c:v>
                </c:pt>
                <c:pt idx="529" formatCode="_(* #,##0_);_(* \(#,##0\);_(* &quot;-&quot;??_);_(@_)">
                  <c:v>70</c:v>
                </c:pt>
                <c:pt idx="530" formatCode="_(* #,##0_);_(* \(#,##0\);_(* &quot;-&quot;??_);_(@_)">
                  <c:v>1166.6666666666665</c:v>
                </c:pt>
                <c:pt idx="531" formatCode="_(* #,##0_);_(* \(#,##0\);_(* &quot;-&quot;??_);_(@_)">
                  <c:v>59.5</c:v>
                </c:pt>
                <c:pt idx="532" formatCode="_(* #,##0_);_(* \(#,##0\);_(* &quot;-&quot;??_);_(@_)">
                  <c:v>168</c:v>
                </c:pt>
                <c:pt idx="533" formatCode="_(* #,##0_);_(* \(#,##0\);_(* &quot;-&quot;??_);_(@_)">
                  <c:v>350</c:v>
                </c:pt>
                <c:pt idx="534" formatCode="_(* #,##0_);_(* \(#,##0\);_(* &quot;-&quot;??_);_(@_)">
                  <c:v>0</c:v>
                </c:pt>
                <c:pt idx="535" formatCode="_(* #,##0_);_(* \(#,##0\);_(* &quot;-&quot;??_);_(@_)">
                  <c:v>3039.1666666666665</c:v>
                </c:pt>
                <c:pt idx="536" formatCode="_(* #,##0_);_(* \(#,##0\);_(* &quot;-&quot;??_);_(@_)">
                  <c:v>167465.00458333333</c:v>
                </c:pt>
                <c:pt idx="537">
                  <c:v>0</c:v>
                </c:pt>
                <c:pt idx="538">
                  <c:v>0</c:v>
                </c:pt>
                <c:pt idx="539" formatCode="_(* #,##0_);_(* \(#,##0\);_(* &quot;-&quot;??_);_(@_)">
                  <c:v>10080</c:v>
                </c:pt>
                <c:pt idx="540" formatCode="_(* #,##0_);_(* \(#,##0\);_(* &quot;-&quot;??_);_(@_)">
                  <c:v>10080</c:v>
                </c:pt>
                <c:pt idx="541" formatCode="_(* #,##0_);_(* \(#,##0\);_(* &quot;-&quot;??_);_(@_)">
                  <c:v>9800</c:v>
                </c:pt>
                <c:pt idx="542" formatCode="_(* #,##0_);_(* \(#,##0\);_(* &quot;-&quot;??_);_(@_)">
                  <c:v>350</c:v>
                </c:pt>
                <c:pt idx="543" formatCode="_(* #,##0_);_(* \(#,##0\);_(* &quot;-&quot;??_);_(@_)">
                  <c:v>30310</c:v>
                </c:pt>
                <c:pt idx="544">
                  <c:v>0</c:v>
                </c:pt>
                <c:pt idx="545" formatCode="_(* #,##0_);_(* \(#,##0\);_(* &quot;-&quot;??_);_(@_)">
                  <c:v>2520</c:v>
                </c:pt>
                <c:pt idx="546" formatCode="_(* #,##0_);_(* \(#,##0\);_(* &quot;-&quot;??_);_(@_)">
                  <c:v>2520</c:v>
                </c:pt>
                <c:pt idx="547" formatCode="_(* #,##0_);_(* \(#,##0\);_(* &quot;-&quot;??_);_(@_)">
                  <c:v>5040</c:v>
                </c:pt>
                <c:pt idx="548">
                  <c:v>0</c:v>
                </c:pt>
                <c:pt idx="549" formatCode="_(* #,##0_);_(* \(#,##0\);_(* &quot;-&quot;??_);_(@_)">
                  <c:v>22680</c:v>
                </c:pt>
                <c:pt idx="550" formatCode="_(* #,##0_);_(* \(#,##0\);_(* &quot;-&quot;??_);_(@_)">
                  <c:v>22680</c:v>
                </c:pt>
                <c:pt idx="551" formatCode="_(* #,##0_);_(* \(#,##0\);_(* &quot;-&quot;??_);_(@_)">
                  <c:v>58030</c:v>
                </c:pt>
                <c:pt idx="553" formatCode="_(* #,##0_);_(* \(#,##0\);_(* &quot;-&quot;??_);_(@_)">
                  <c:v>0</c:v>
                </c:pt>
                <c:pt idx="554" formatCode="_(* #,##0_);_(* \(#,##0\);_(* &quot;-&quot;??_);_(@_)">
                  <c:v>0</c:v>
                </c:pt>
                <c:pt idx="557" formatCode="_(* #,##0_);_(* \(#,##0\);_(* &quot;-&quot;??_);_(@_)">
                  <c:v>0</c:v>
                </c:pt>
                <c:pt idx="558" formatCode="_(* #,##0_);_(* \(#,##0\);_(* &quot;-&quot;??_);_(@_)">
                  <c:v>246435</c:v>
                </c:pt>
                <c:pt idx="559" formatCode="_(* #,##0_);_(* \(#,##0\);_(* &quot;-&quot;??_);_(@_)">
                  <c:v>198067.33333333334</c:v>
                </c:pt>
                <c:pt idx="560" formatCode="_(* #,##0_);_(* \(#,##0\);_(* &quot;-&quot;??_);_(@_)">
                  <c:v>167465.00458333333</c:v>
                </c:pt>
                <c:pt idx="561" formatCode="_(* #,##0_);_(* \(#,##0\);_(* &quot;-&quot;??_);_(@_)">
                  <c:v>58030</c:v>
                </c:pt>
                <c:pt idx="562" formatCode="_(* #,##0_);_(* \(#,##0\);_(* &quot;-&quot;??_);_(@_)">
                  <c:v>0</c:v>
                </c:pt>
                <c:pt idx="563" formatCode="_(* #,##0_);_(* \(#,##0\);_(* &quot;-&quot;??_);_(@_)">
                  <c:v>669997.33791666664</c:v>
                </c:pt>
              </c:numCache>
            </c:numRef>
          </c:val>
          <c:extLst>
            <c:ext xmlns:c16="http://schemas.microsoft.com/office/drawing/2014/chart" uri="{C3380CC4-5D6E-409C-BE32-E72D297353CC}">
              <c16:uniqueId val="{00000003-D0A8-43A3-B2BA-CC7AF60235AB}"/>
            </c:ext>
          </c:extLst>
        </c:ser>
        <c:ser>
          <c:idx val="4"/>
          <c:order val="4"/>
          <c:invertIfNegative val="0"/>
          <c:cat>
            <c:multiLvlStrRef>
              <c:f>'پلان گاری سالانه با نواقص'!$A$1:$K$579</c:f>
              <c:multiLvlStrCache>
                <c:ptCount val="1158"/>
                <c:lvl>
                  <c:pt idx="2">
                    <c:v>قیمت فی واحد</c:v>
                  </c:pt>
                  <c:pt idx="4">
                    <c:v>100000</c:v>
                  </c:pt>
                  <c:pt idx="5">
                    <c:v>800</c:v>
                  </c:pt>
                  <c:pt idx="6">
                    <c:v>0</c:v>
                  </c:pt>
                  <c:pt idx="8">
                    <c:v>قیمت فی واحد</c:v>
                  </c:pt>
                  <c:pt idx="9">
                    <c:v>100000</c:v>
                  </c:pt>
                  <c:pt idx="10">
                    <c:v>800</c:v>
                  </c:pt>
                  <c:pt idx="11">
                    <c:v>0</c:v>
                  </c:pt>
                  <c:pt idx="13">
                    <c:v>قیمت فی واحد</c:v>
                  </c:pt>
                  <c:pt idx="14">
                    <c:v>100000</c:v>
                  </c:pt>
                  <c:pt idx="15">
                    <c:v>800</c:v>
                  </c:pt>
                  <c:pt idx="16">
                    <c:v>700</c:v>
                  </c:pt>
                  <c:pt idx="19">
                    <c:v>قیمت فی واحد</c:v>
                  </c:pt>
                  <c:pt idx="20">
                    <c:v>100000</c:v>
                  </c:pt>
                  <c:pt idx="21">
                    <c:v>800</c:v>
                  </c:pt>
                  <c:pt idx="22">
                    <c:v>0</c:v>
                  </c:pt>
                  <c:pt idx="24">
                    <c:v>قیمت فی واحد</c:v>
                  </c:pt>
                  <c:pt idx="25">
                    <c:v>100000</c:v>
                  </c:pt>
                  <c:pt idx="26">
                    <c:v>800</c:v>
                  </c:pt>
                  <c:pt idx="27">
                    <c:v>0</c:v>
                  </c:pt>
                  <c:pt idx="29">
                    <c:v>قیمت فی واحد</c:v>
                  </c:pt>
                  <c:pt idx="30">
                    <c:v>144000</c:v>
                  </c:pt>
                  <c:pt idx="31">
                    <c:v>10000</c:v>
                  </c:pt>
                  <c:pt idx="33">
                    <c:v>قیمت فی واحد</c:v>
                  </c:pt>
                  <c:pt idx="34">
                    <c:v>144000</c:v>
                  </c:pt>
                  <c:pt idx="35">
                    <c:v>10000</c:v>
                  </c:pt>
                  <c:pt idx="37">
                    <c:v>قیمت فی واحد</c:v>
                  </c:pt>
                  <c:pt idx="38">
                    <c:v>144000</c:v>
                  </c:pt>
                  <c:pt idx="41">
                    <c:v>قیمت فی واحد</c:v>
                  </c:pt>
                  <c:pt idx="42">
                    <c:v>100000</c:v>
                  </c:pt>
                  <c:pt idx="43">
                    <c:v>1500</c:v>
                  </c:pt>
                  <c:pt idx="44">
                    <c:v>800</c:v>
                  </c:pt>
                  <c:pt idx="47">
                    <c:v>قیمت فی واحد</c:v>
                  </c:pt>
                  <c:pt idx="48">
                    <c:v>100000</c:v>
                  </c:pt>
                  <c:pt idx="49">
                    <c:v>700</c:v>
                  </c:pt>
                  <c:pt idx="50">
                    <c:v>250</c:v>
                  </c:pt>
                  <c:pt idx="51">
                    <c:v>800</c:v>
                  </c:pt>
                  <c:pt idx="52">
                    <c:v>10000</c:v>
                  </c:pt>
                  <c:pt idx="54">
                    <c:v>قیمت فی واحد</c:v>
                  </c:pt>
                  <c:pt idx="55">
                    <c:v>100000</c:v>
                  </c:pt>
                  <c:pt idx="56">
                    <c:v>800</c:v>
                  </c:pt>
                  <c:pt idx="59">
                    <c:v>قیمت فی واحد</c:v>
                  </c:pt>
                  <c:pt idx="60">
                    <c:v>100000</c:v>
                  </c:pt>
                  <c:pt idx="61">
                    <c:v>800</c:v>
                  </c:pt>
                  <c:pt idx="64">
                    <c:v>قیمت فی واحد</c:v>
                  </c:pt>
                  <c:pt idx="65">
                    <c:v>60000</c:v>
                  </c:pt>
                  <c:pt idx="70">
                    <c:v>نورم کار</c:v>
                  </c:pt>
                  <c:pt idx="77">
                    <c:v>4000</c:v>
                  </c:pt>
                  <c:pt idx="79">
                    <c:v>125</c:v>
                  </c:pt>
                  <c:pt idx="80">
                    <c:v>250</c:v>
                  </c:pt>
                  <c:pt idx="86">
                    <c:v>قیمت فی واحد</c:v>
                  </c:pt>
                  <c:pt idx="91">
                    <c:v>500</c:v>
                  </c:pt>
                  <c:pt idx="92">
                    <c:v>300</c:v>
                  </c:pt>
                  <c:pt idx="93">
                    <c:v>100</c:v>
                  </c:pt>
                  <c:pt idx="95">
                    <c:v>80</c:v>
                  </c:pt>
                  <c:pt idx="96">
                    <c:v>80</c:v>
                  </c:pt>
                  <c:pt idx="98">
                    <c:v>50</c:v>
                  </c:pt>
                  <c:pt idx="99">
                    <c:v>100</c:v>
                  </c:pt>
                  <c:pt idx="101">
                    <c:v>4000</c:v>
                  </c:pt>
                  <c:pt idx="103">
                    <c:v>100</c:v>
                  </c:pt>
                  <c:pt idx="106">
                    <c:v>125</c:v>
                  </c:pt>
                  <c:pt idx="107">
                    <c:v>250</c:v>
                  </c:pt>
                  <c:pt idx="114">
                    <c:v>قیمت فی واحد</c:v>
                  </c:pt>
                  <c:pt idx="120">
                    <c:v>4000</c:v>
                  </c:pt>
                  <c:pt idx="122">
                    <c:v>250</c:v>
                  </c:pt>
                  <c:pt idx="123">
                    <c:v>250</c:v>
                  </c:pt>
                  <c:pt idx="129">
                    <c:v>قیمت فی واحد</c:v>
                  </c:pt>
                  <c:pt idx="132">
                    <c:v>500</c:v>
                  </c:pt>
                  <c:pt idx="133">
                    <c:v>300</c:v>
                  </c:pt>
                  <c:pt idx="134">
                    <c:v>100</c:v>
                  </c:pt>
                  <c:pt idx="136">
                    <c:v>80</c:v>
                  </c:pt>
                  <c:pt idx="137">
                    <c:v>80</c:v>
                  </c:pt>
                  <c:pt idx="139">
                    <c:v>50</c:v>
                  </c:pt>
                  <c:pt idx="140">
                    <c:v>100</c:v>
                  </c:pt>
                  <c:pt idx="142">
                    <c:v>4000</c:v>
                  </c:pt>
                  <c:pt idx="144">
                    <c:v>100</c:v>
                  </c:pt>
                  <c:pt idx="147">
                    <c:v>125</c:v>
                  </c:pt>
                  <c:pt idx="148">
                    <c:v>250</c:v>
                  </c:pt>
                  <c:pt idx="149">
                    <c:v>250</c:v>
                  </c:pt>
                  <c:pt idx="157">
                    <c:v>قیمت فی واحد</c:v>
                  </c:pt>
                  <c:pt idx="163">
                    <c:v>4000</c:v>
                  </c:pt>
                  <c:pt idx="165">
                    <c:v>125</c:v>
                  </c:pt>
                  <c:pt idx="166">
                    <c:v>250</c:v>
                  </c:pt>
                  <c:pt idx="172">
                    <c:v>قیمت فی واحد</c:v>
                  </c:pt>
                  <c:pt idx="176">
                    <c:v>100</c:v>
                  </c:pt>
                  <c:pt idx="180">
                    <c:v>قیمت فی واحد</c:v>
                  </c:pt>
                  <c:pt idx="184">
                    <c:v>100</c:v>
                  </c:pt>
                  <c:pt idx="187">
                    <c:v>قیمت فی واحد</c:v>
                  </c:pt>
                  <c:pt idx="193">
                    <c:v>500</c:v>
                  </c:pt>
                  <c:pt idx="194">
                    <c:v>300</c:v>
                  </c:pt>
                  <c:pt idx="195">
                    <c:v>100</c:v>
                  </c:pt>
                  <c:pt idx="197">
                    <c:v>80</c:v>
                  </c:pt>
                  <c:pt idx="198">
                    <c:v>80</c:v>
                  </c:pt>
                  <c:pt idx="200">
                    <c:v>50</c:v>
                  </c:pt>
                  <c:pt idx="201">
                    <c:v>100</c:v>
                  </c:pt>
                  <c:pt idx="203">
                    <c:v>4000</c:v>
                  </c:pt>
                  <c:pt idx="205">
                    <c:v>100</c:v>
                  </c:pt>
                  <c:pt idx="208">
                    <c:v>125</c:v>
                  </c:pt>
                  <c:pt idx="210">
                    <c:v>250</c:v>
                  </c:pt>
                  <c:pt idx="216">
                    <c:v>قیمت فی واحد</c:v>
                  </c:pt>
                  <c:pt idx="220">
                    <c:v>500</c:v>
                  </c:pt>
                  <c:pt idx="221">
                    <c:v>300</c:v>
                  </c:pt>
                  <c:pt idx="222">
                    <c:v>100</c:v>
                  </c:pt>
                  <c:pt idx="224">
                    <c:v>80</c:v>
                  </c:pt>
                  <c:pt idx="225">
                    <c:v>80</c:v>
                  </c:pt>
                  <c:pt idx="227">
                    <c:v>50</c:v>
                  </c:pt>
                  <c:pt idx="228">
                    <c:v>100</c:v>
                  </c:pt>
                  <c:pt idx="230">
                    <c:v>4000</c:v>
                  </c:pt>
                  <c:pt idx="232">
                    <c:v>100</c:v>
                  </c:pt>
                  <c:pt idx="237">
                    <c:v>قیمت فی واحد</c:v>
                  </c:pt>
                  <c:pt idx="242">
                    <c:v>4000</c:v>
                  </c:pt>
                  <c:pt idx="245">
                    <c:v>قیمت فی واحد</c:v>
                  </c:pt>
                  <c:pt idx="250">
                    <c:v>4000</c:v>
                  </c:pt>
                  <c:pt idx="253">
                    <c:v>قیمت فی واحد</c:v>
                  </c:pt>
                  <c:pt idx="258">
                    <c:v>4000</c:v>
                  </c:pt>
                  <c:pt idx="261">
                    <c:v>قیمت فی واحد</c:v>
                  </c:pt>
                  <c:pt idx="266">
                    <c:v>4000</c:v>
                  </c:pt>
                  <c:pt idx="269">
                    <c:v>قیمت فی واحد</c:v>
                  </c:pt>
                  <c:pt idx="274">
                    <c:v>4000</c:v>
                  </c:pt>
                  <c:pt idx="276">
                    <c:v>125</c:v>
                  </c:pt>
                  <c:pt idx="277">
                    <c:v>250</c:v>
                  </c:pt>
                  <c:pt idx="283">
                    <c:v>قیمت فی واحد</c:v>
                  </c:pt>
                  <c:pt idx="288">
                    <c:v>4000</c:v>
                  </c:pt>
                  <c:pt idx="290">
                    <c:v>125</c:v>
                  </c:pt>
                  <c:pt idx="291">
                    <c:v>250</c:v>
                  </c:pt>
                  <c:pt idx="297">
                    <c:v>11</c:v>
                  </c:pt>
                  <c:pt idx="298">
                    <c:v>12</c:v>
                  </c:pt>
                  <c:pt idx="302">
                    <c:v>قیمت فی واحد</c:v>
                  </c:pt>
                  <c:pt idx="538">
                    <c:v>قیمت فی واحد</c:v>
                  </c:pt>
                  <c:pt idx="539">
                    <c:v>32000</c:v>
                  </c:pt>
                  <c:pt idx="540">
                    <c:v>80000</c:v>
                  </c:pt>
                  <c:pt idx="541">
                    <c:v>2500</c:v>
                  </c:pt>
                  <c:pt idx="542">
                    <c:v>2147680</c:v>
                  </c:pt>
                  <c:pt idx="544">
                    <c:v>قیمت فی واحد</c:v>
                  </c:pt>
                  <c:pt idx="545">
                    <c:v>12000</c:v>
                  </c:pt>
                  <c:pt idx="546">
                    <c:v>8000</c:v>
                  </c:pt>
                  <c:pt idx="548">
                    <c:v>قیمت فی واحد</c:v>
                  </c:pt>
                  <c:pt idx="549">
                    <c:v>9115</c:v>
                  </c:pt>
                  <c:pt idx="557">
                    <c:v>قیمت به دالر </c:v>
                  </c:pt>
                  <c:pt idx="558">
                    <c:v> 201,492.54 </c:v>
                  </c:pt>
                  <c:pt idx="559">
                    <c:v> 260,591.47 </c:v>
                  </c:pt>
                  <c:pt idx="560">
                    <c:v> 389,259.12 </c:v>
                  </c:pt>
                  <c:pt idx="561">
                    <c:v> 114,546.39 </c:v>
                  </c:pt>
                  <c:pt idx="562">
                    <c:v> 34,110.48 </c:v>
                  </c:pt>
                  <c:pt idx="563">
                    <c:v> 1,000,000 </c:v>
                  </c:pt>
                  <c:pt idx="582">
                    <c:v>تاریخ ختم </c:v>
                  </c:pt>
                  <c:pt idx="583">
                    <c:v>1397/9/30</c:v>
                  </c:pt>
                  <c:pt idx="584">
                    <c:v>1397/9/30</c:v>
                  </c:pt>
                  <c:pt idx="585">
                    <c:v>1397/9/30</c:v>
                  </c:pt>
                  <c:pt idx="587">
                    <c:v>تاریخ ختم </c:v>
                  </c:pt>
                  <c:pt idx="588">
                    <c:v>1397/9/30</c:v>
                  </c:pt>
                  <c:pt idx="589">
                    <c:v>1397/9/30</c:v>
                  </c:pt>
                  <c:pt idx="590">
                    <c:v>1397/9/30</c:v>
                  </c:pt>
                  <c:pt idx="593">
                    <c:v>1397/9/30</c:v>
                  </c:pt>
                  <c:pt idx="594">
                    <c:v>1397/9/30</c:v>
                  </c:pt>
                  <c:pt idx="595">
                    <c:v>1397/9/30</c:v>
                  </c:pt>
                  <c:pt idx="596">
                    <c:v>1397/9/30</c:v>
                  </c:pt>
                  <c:pt idx="598">
                    <c:v>تاریخ ختم </c:v>
                  </c:pt>
                  <c:pt idx="599">
                    <c:v>1397/9/30</c:v>
                  </c:pt>
                  <c:pt idx="600">
                    <c:v>1397/9/30</c:v>
                  </c:pt>
                  <c:pt idx="601">
                    <c:v>1397/9/30</c:v>
                  </c:pt>
                  <c:pt idx="603">
                    <c:v>تاریخ ختم </c:v>
                  </c:pt>
                  <c:pt idx="604">
                    <c:v>1397/9/30</c:v>
                  </c:pt>
                  <c:pt idx="605">
                    <c:v>1397/9/30</c:v>
                  </c:pt>
                  <c:pt idx="606">
                    <c:v>1397/9/30</c:v>
                  </c:pt>
                  <c:pt idx="608">
                    <c:v>تاریخ ختم </c:v>
                  </c:pt>
                  <c:pt idx="609">
                    <c:v>1397/9/30</c:v>
                  </c:pt>
                  <c:pt idx="610">
                    <c:v>1397/9/30</c:v>
                  </c:pt>
                  <c:pt idx="612">
                    <c:v>تاریخ ختم </c:v>
                  </c:pt>
                  <c:pt idx="613">
                    <c:v>1397/9/30</c:v>
                  </c:pt>
                  <c:pt idx="614">
                    <c:v>1397/9/30</c:v>
                  </c:pt>
                  <c:pt idx="616">
                    <c:v>تاریخ ختم </c:v>
                  </c:pt>
                  <c:pt idx="617">
                    <c:v>1397/9/30</c:v>
                  </c:pt>
                  <c:pt idx="618">
                    <c:v>1397/9/30</c:v>
                  </c:pt>
                  <c:pt idx="620">
                    <c:v>تاریخ ختم </c:v>
                  </c:pt>
                  <c:pt idx="621">
                    <c:v>1397/9/30</c:v>
                  </c:pt>
                  <c:pt idx="622">
                    <c:v>1397/9/30</c:v>
                  </c:pt>
                  <c:pt idx="623">
                    <c:v>1397/9/30</c:v>
                  </c:pt>
                  <c:pt idx="624">
                    <c:v>1397/9/30</c:v>
                  </c:pt>
                  <c:pt idx="626">
                    <c:v>تاریخ ختم </c:v>
                  </c:pt>
                  <c:pt idx="627">
                    <c:v>1397/9/30</c:v>
                  </c:pt>
                  <c:pt idx="628">
                    <c:v>1397/9/30</c:v>
                  </c:pt>
                  <c:pt idx="629">
                    <c:v>1397/9/30</c:v>
                  </c:pt>
                  <c:pt idx="630">
                    <c:v>1397/9/30</c:v>
                  </c:pt>
                  <c:pt idx="631">
                    <c:v>1397/9/30</c:v>
                  </c:pt>
                  <c:pt idx="633">
                    <c:v>تاریخ ختم </c:v>
                  </c:pt>
                  <c:pt idx="634">
                    <c:v>1397/9/30</c:v>
                  </c:pt>
                  <c:pt idx="635">
                    <c:v>1397/9/30</c:v>
                  </c:pt>
                  <c:pt idx="636">
                    <c:v>1397/9/30</c:v>
                  </c:pt>
                  <c:pt idx="638">
                    <c:v>تاریخ ختم </c:v>
                  </c:pt>
                  <c:pt idx="639">
                    <c:v>1397/9/30</c:v>
                  </c:pt>
                  <c:pt idx="640">
                    <c:v>1397/9/30</c:v>
                  </c:pt>
                  <c:pt idx="641">
                    <c:v>1397/9/30</c:v>
                  </c:pt>
                  <c:pt idx="643">
                    <c:v>تاریخ ختم </c:v>
                  </c:pt>
                  <c:pt idx="644">
                    <c:v>1397/9/30</c:v>
                  </c:pt>
                  <c:pt idx="645">
                    <c:v>1397/9/30</c:v>
                  </c:pt>
                  <c:pt idx="647">
                    <c:v> -   </c:v>
                  </c:pt>
                  <c:pt idx="650">
                    <c:v>تاریخ ختم</c:v>
                  </c:pt>
                  <c:pt idx="651">
                    <c:v>30دلو</c:v>
                  </c:pt>
                  <c:pt idx="652">
                    <c:v>30حمل</c:v>
                  </c:pt>
                  <c:pt idx="655">
                    <c:v>30قوس </c:v>
                  </c:pt>
                  <c:pt idx="656">
                    <c:v>30قوس </c:v>
                  </c:pt>
                  <c:pt idx="658">
                    <c:v>30عقرب</c:v>
                  </c:pt>
                  <c:pt idx="659">
                    <c:v>30قوس</c:v>
                  </c:pt>
                  <c:pt idx="660">
                    <c:v>30سنبله </c:v>
                  </c:pt>
                  <c:pt idx="661">
                    <c:v>30سنبله </c:v>
                  </c:pt>
                  <c:pt idx="662">
                    <c:v>30عقرب</c:v>
                  </c:pt>
                  <c:pt idx="663">
                    <c:v>30قوس</c:v>
                  </c:pt>
                  <c:pt idx="665">
                    <c:v>تاریخ ختم </c:v>
                  </c:pt>
                  <c:pt idx="667">
                    <c:v>30قوس</c:v>
                  </c:pt>
                  <c:pt idx="668">
                    <c:v>30قوس</c:v>
                  </c:pt>
                  <c:pt idx="669">
                    <c:v>30قوس</c:v>
                  </c:pt>
                  <c:pt idx="670">
                    <c:v>15حوت</c:v>
                  </c:pt>
                  <c:pt idx="671">
                    <c:v>15حوت</c:v>
                  </c:pt>
                  <c:pt idx="672">
                    <c:v>30عقرب</c:v>
                  </c:pt>
                  <c:pt idx="673">
                    <c:v>30دلو</c:v>
                  </c:pt>
                  <c:pt idx="674">
                    <c:v>30عقرب</c:v>
                  </c:pt>
                  <c:pt idx="675">
                    <c:v>30عقرب</c:v>
                  </c:pt>
                  <c:pt idx="676">
                    <c:v>15قوس</c:v>
                  </c:pt>
                  <c:pt idx="677">
                    <c:v>15قوس</c:v>
                  </c:pt>
                  <c:pt idx="678">
                    <c:v>15حوت</c:v>
                  </c:pt>
                  <c:pt idx="679">
                    <c:v>30جدی</c:v>
                  </c:pt>
                  <c:pt idx="680">
                    <c:v>30حوت</c:v>
                  </c:pt>
                  <c:pt idx="681">
                    <c:v>30حوت</c:v>
                  </c:pt>
                  <c:pt idx="682">
                    <c:v>30سنبله </c:v>
                  </c:pt>
                  <c:pt idx="683">
                    <c:v>30میزان</c:v>
                  </c:pt>
                  <c:pt idx="685">
                    <c:v>30عقرب</c:v>
                  </c:pt>
                  <c:pt idx="686">
                    <c:v>30قوس</c:v>
                  </c:pt>
                  <c:pt idx="687">
                    <c:v>30سنبله </c:v>
                  </c:pt>
                  <c:pt idx="688">
                    <c:v>30سنبله </c:v>
                  </c:pt>
                  <c:pt idx="689">
                    <c:v>30عقرب</c:v>
                  </c:pt>
                  <c:pt idx="690">
                    <c:v>30قوس</c:v>
                  </c:pt>
                  <c:pt idx="691">
                    <c:v>30قوس</c:v>
                  </c:pt>
                  <c:pt idx="693">
                    <c:v>تاریخ ختم </c:v>
                  </c:pt>
                  <c:pt idx="694">
                    <c:v>30دلو</c:v>
                  </c:pt>
                  <c:pt idx="695">
                    <c:v>30حمل</c:v>
                  </c:pt>
                  <c:pt idx="696">
                    <c:v>30 قوس</c:v>
                  </c:pt>
                  <c:pt idx="697">
                    <c:v>30 قوس</c:v>
                  </c:pt>
                  <c:pt idx="698">
                    <c:v>30قوس </c:v>
                  </c:pt>
                  <c:pt idx="699">
                    <c:v>30قوس </c:v>
                  </c:pt>
                  <c:pt idx="701">
                    <c:v>30عقرب</c:v>
                  </c:pt>
                  <c:pt idx="702">
                    <c:v>30قوس</c:v>
                  </c:pt>
                  <c:pt idx="703">
                    <c:v>30سنبله </c:v>
                  </c:pt>
                  <c:pt idx="704">
                    <c:v>30سنبله </c:v>
                  </c:pt>
                  <c:pt idx="705">
                    <c:v>30عقرب</c:v>
                  </c:pt>
                  <c:pt idx="706">
                    <c:v>30قوس</c:v>
                  </c:pt>
                  <c:pt idx="708">
                    <c:v>تاریخ ختم </c:v>
                  </c:pt>
                  <c:pt idx="709">
                    <c:v>30قوس</c:v>
                  </c:pt>
                  <c:pt idx="710">
                    <c:v>30قوس</c:v>
                  </c:pt>
                  <c:pt idx="711">
                    <c:v>15حوت</c:v>
                  </c:pt>
                  <c:pt idx="712">
                    <c:v>15حوت</c:v>
                  </c:pt>
                  <c:pt idx="713">
                    <c:v>30عقرب</c:v>
                  </c:pt>
                  <c:pt idx="714">
                    <c:v>30دلو</c:v>
                  </c:pt>
                  <c:pt idx="715">
                    <c:v>30عقرب</c:v>
                  </c:pt>
                  <c:pt idx="716">
                    <c:v>30عقرب</c:v>
                  </c:pt>
                  <c:pt idx="717">
                    <c:v>15قوس</c:v>
                  </c:pt>
                  <c:pt idx="718">
                    <c:v>15قوس</c:v>
                  </c:pt>
                  <c:pt idx="719">
                    <c:v>15حوت</c:v>
                  </c:pt>
                  <c:pt idx="720">
                    <c:v>30جدی</c:v>
                  </c:pt>
                  <c:pt idx="721">
                    <c:v>30حوت</c:v>
                  </c:pt>
                  <c:pt idx="722">
                    <c:v>30حوت</c:v>
                  </c:pt>
                  <c:pt idx="723">
                    <c:v>30سنبله </c:v>
                  </c:pt>
                  <c:pt idx="724">
                    <c:v>30میزان</c:v>
                  </c:pt>
                  <c:pt idx="726">
                    <c:v>30عقرب</c:v>
                  </c:pt>
                  <c:pt idx="727">
                    <c:v>30عقرب</c:v>
                  </c:pt>
                  <c:pt idx="728">
                    <c:v>30قوس</c:v>
                  </c:pt>
                  <c:pt idx="729">
                    <c:v>30سنبله </c:v>
                  </c:pt>
                  <c:pt idx="730">
                    <c:v>30سنبله </c:v>
                  </c:pt>
                  <c:pt idx="731">
                    <c:v>30عقرب</c:v>
                  </c:pt>
                  <c:pt idx="732">
                    <c:v>30عقرب</c:v>
                  </c:pt>
                  <c:pt idx="733">
                    <c:v>30قوس</c:v>
                  </c:pt>
                  <c:pt idx="734">
                    <c:v>30قوس</c:v>
                  </c:pt>
                  <c:pt idx="736">
                    <c:v>تاریخ ختم </c:v>
                  </c:pt>
                  <c:pt idx="737">
                    <c:v>30دلو</c:v>
                  </c:pt>
                  <c:pt idx="738">
                    <c:v>30حمل</c:v>
                  </c:pt>
                  <c:pt idx="739">
                    <c:v>30 قوس</c:v>
                  </c:pt>
                  <c:pt idx="740">
                    <c:v>30قوس</c:v>
                  </c:pt>
                  <c:pt idx="741">
                    <c:v>30قوس </c:v>
                  </c:pt>
                  <c:pt idx="742">
                    <c:v>30قوس </c:v>
                  </c:pt>
                  <c:pt idx="744">
                    <c:v>30عقرب</c:v>
                  </c:pt>
                  <c:pt idx="745">
                    <c:v>30قوس</c:v>
                  </c:pt>
                  <c:pt idx="746">
                    <c:v>30سنبله </c:v>
                  </c:pt>
                  <c:pt idx="747">
                    <c:v>30سنبله </c:v>
                  </c:pt>
                  <c:pt idx="748">
                    <c:v>30عقرب</c:v>
                  </c:pt>
                  <c:pt idx="749">
                    <c:v>30قوس</c:v>
                  </c:pt>
                  <c:pt idx="751">
                    <c:v>تاریخ ختم </c:v>
                  </c:pt>
                  <c:pt idx="752">
                    <c:v>30قوس</c:v>
                  </c:pt>
                  <c:pt idx="753">
                    <c:v>30قوس</c:v>
                  </c:pt>
                  <c:pt idx="754">
                    <c:v>30قوس</c:v>
                  </c:pt>
                  <c:pt idx="755">
                    <c:v>30سنبله </c:v>
                  </c:pt>
                  <c:pt idx="756">
                    <c:v>30میزان</c:v>
                  </c:pt>
                  <c:pt idx="757">
                    <c:v>30قوس</c:v>
                  </c:pt>
                  <c:pt idx="759">
                    <c:v>تاریخ ختم </c:v>
                  </c:pt>
                  <c:pt idx="760">
                    <c:v>30قوس</c:v>
                  </c:pt>
                  <c:pt idx="761">
                    <c:v>30قوس</c:v>
                  </c:pt>
                  <c:pt idx="762">
                    <c:v>30میزان</c:v>
                  </c:pt>
                  <c:pt idx="763">
                    <c:v>30سنبله </c:v>
                  </c:pt>
                  <c:pt idx="764">
                    <c:v>30قوس</c:v>
                  </c:pt>
                  <c:pt idx="766">
                    <c:v>تاریخ ختم </c:v>
                  </c:pt>
                  <c:pt idx="767">
                    <c:v>30قوس</c:v>
                  </c:pt>
                  <c:pt idx="768">
                    <c:v>30قوس</c:v>
                  </c:pt>
                  <c:pt idx="769">
                    <c:v>30حمل</c:v>
                  </c:pt>
                  <c:pt idx="770">
                    <c:v>30قوس</c:v>
                  </c:pt>
                  <c:pt idx="771">
                    <c:v>30قوس</c:v>
                  </c:pt>
                  <c:pt idx="772">
                    <c:v>15حوت</c:v>
                  </c:pt>
                  <c:pt idx="773">
                    <c:v>15حوت</c:v>
                  </c:pt>
                  <c:pt idx="774">
                    <c:v>30عقرب</c:v>
                  </c:pt>
                  <c:pt idx="775">
                    <c:v>30دلو</c:v>
                  </c:pt>
                  <c:pt idx="776">
                    <c:v>30عقرب</c:v>
                  </c:pt>
                  <c:pt idx="777">
                    <c:v>30عقرب</c:v>
                  </c:pt>
                  <c:pt idx="778">
                    <c:v>15قوس</c:v>
                  </c:pt>
                  <c:pt idx="779">
                    <c:v>15قوس</c:v>
                  </c:pt>
                  <c:pt idx="780">
                    <c:v>15حوت</c:v>
                  </c:pt>
                  <c:pt idx="781">
                    <c:v>30جدی</c:v>
                  </c:pt>
                  <c:pt idx="782">
                    <c:v>30حوت</c:v>
                  </c:pt>
                  <c:pt idx="783">
                    <c:v>30حوت</c:v>
                  </c:pt>
                  <c:pt idx="784">
                    <c:v>30سنبله </c:v>
                  </c:pt>
                  <c:pt idx="785">
                    <c:v>30میزان</c:v>
                  </c:pt>
                  <c:pt idx="786">
                    <c:v>30قوس</c:v>
                  </c:pt>
                  <c:pt idx="787">
                    <c:v>30عقرب</c:v>
                  </c:pt>
                  <c:pt idx="788">
                    <c:v>30قوس</c:v>
                  </c:pt>
                  <c:pt idx="789">
                    <c:v>30سنبله </c:v>
                  </c:pt>
                  <c:pt idx="790">
                    <c:v>30سنبله </c:v>
                  </c:pt>
                  <c:pt idx="791">
                    <c:v>30عقرب</c:v>
                  </c:pt>
                  <c:pt idx="792">
                    <c:v>30قوس</c:v>
                  </c:pt>
                  <c:pt idx="793">
                    <c:v>30قوس</c:v>
                  </c:pt>
                  <c:pt idx="795">
                    <c:v>تاریخ ختم </c:v>
                  </c:pt>
                  <c:pt idx="796">
                    <c:v>30قوس</c:v>
                  </c:pt>
                  <c:pt idx="797">
                    <c:v>30 قوس</c:v>
                  </c:pt>
                  <c:pt idx="798">
                    <c:v>30قوس</c:v>
                  </c:pt>
                  <c:pt idx="799">
                    <c:v>15حوت</c:v>
                  </c:pt>
                  <c:pt idx="800">
                    <c:v>15حوت</c:v>
                  </c:pt>
                  <c:pt idx="801">
                    <c:v>30عقرب</c:v>
                  </c:pt>
                  <c:pt idx="802">
                    <c:v>30دلو</c:v>
                  </c:pt>
                  <c:pt idx="803">
                    <c:v>30عقرب</c:v>
                  </c:pt>
                  <c:pt idx="804">
                    <c:v>30عقرب</c:v>
                  </c:pt>
                  <c:pt idx="805">
                    <c:v>15قوس</c:v>
                  </c:pt>
                  <c:pt idx="806">
                    <c:v>15قوس</c:v>
                  </c:pt>
                  <c:pt idx="807">
                    <c:v>15حوت</c:v>
                  </c:pt>
                  <c:pt idx="808">
                    <c:v>30جدی</c:v>
                  </c:pt>
                  <c:pt idx="809">
                    <c:v>30حوت</c:v>
                  </c:pt>
                  <c:pt idx="810">
                    <c:v>30حوت</c:v>
                  </c:pt>
                  <c:pt idx="811">
                    <c:v>30سنبله </c:v>
                  </c:pt>
                  <c:pt idx="812">
                    <c:v>30میزان</c:v>
                  </c:pt>
                  <c:pt idx="813">
                    <c:v>30قوس</c:v>
                  </c:pt>
                  <c:pt idx="814">
                    <c:v>30قوس</c:v>
                  </c:pt>
                  <c:pt idx="816">
                    <c:v>تاریخ ختم </c:v>
                  </c:pt>
                  <c:pt idx="817">
                    <c:v>30دلو</c:v>
                  </c:pt>
                  <c:pt idx="818">
                    <c:v>30حمل</c:v>
                  </c:pt>
                  <c:pt idx="819">
                    <c:v>31 قوس</c:v>
                  </c:pt>
                  <c:pt idx="820">
                    <c:v>30قوس </c:v>
                  </c:pt>
                  <c:pt idx="821">
                    <c:v>30قوس </c:v>
                  </c:pt>
                  <c:pt idx="822">
                    <c:v>30قوس</c:v>
                  </c:pt>
                  <c:pt idx="824">
                    <c:v>تاریخ ختم </c:v>
                  </c:pt>
                  <c:pt idx="825">
                    <c:v>30دلو</c:v>
                  </c:pt>
                  <c:pt idx="826">
                    <c:v>30حمل</c:v>
                  </c:pt>
                  <c:pt idx="827">
                    <c:v>31 قوس</c:v>
                  </c:pt>
                  <c:pt idx="828">
                    <c:v>30قوس </c:v>
                  </c:pt>
                  <c:pt idx="829">
                    <c:v>30قوس </c:v>
                  </c:pt>
                  <c:pt idx="830">
                    <c:v>30قوس</c:v>
                  </c:pt>
                  <c:pt idx="832">
                    <c:v>تاریخ ختم </c:v>
                  </c:pt>
                  <c:pt idx="833">
                    <c:v>30دلو</c:v>
                  </c:pt>
                  <c:pt idx="834">
                    <c:v>30حمل</c:v>
                  </c:pt>
                  <c:pt idx="835">
                    <c:v>31 قوس</c:v>
                  </c:pt>
                  <c:pt idx="836">
                    <c:v>30قوس </c:v>
                  </c:pt>
                  <c:pt idx="837">
                    <c:v>30قوس </c:v>
                  </c:pt>
                  <c:pt idx="838">
                    <c:v>30قوس</c:v>
                  </c:pt>
                  <c:pt idx="840">
                    <c:v>تاریخ ختم </c:v>
                  </c:pt>
                  <c:pt idx="841">
                    <c:v>30دلو</c:v>
                  </c:pt>
                  <c:pt idx="842">
                    <c:v>30حمل</c:v>
                  </c:pt>
                  <c:pt idx="843">
                    <c:v>31 قوس</c:v>
                  </c:pt>
                  <c:pt idx="844">
                    <c:v>30قوس </c:v>
                  </c:pt>
                  <c:pt idx="845">
                    <c:v>30قوس </c:v>
                  </c:pt>
                  <c:pt idx="846">
                    <c:v>30قوس</c:v>
                  </c:pt>
                  <c:pt idx="848">
                    <c:v>تاریخ ختم </c:v>
                  </c:pt>
                  <c:pt idx="849">
                    <c:v>30دلو</c:v>
                  </c:pt>
                  <c:pt idx="850">
                    <c:v>30حمل</c:v>
                  </c:pt>
                  <c:pt idx="851">
                    <c:v>31 قوس</c:v>
                  </c:pt>
                  <c:pt idx="852">
                    <c:v>30قوس </c:v>
                  </c:pt>
                  <c:pt idx="853">
                    <c:v>30قوس </c:v>
                  </c:pt>
                  <c:pt idx="855">
                    <c:v>30عقرب</c:v>
                  </c:pt>
                  <c:pt idx="856">
                    <c:v>30قوس</c:v>
                  </c:pt>
                  <c:pt idx="857">
                    <c:v>30سنبله </c:v>
                  </c:pt>
                  <c:pt idx="858">
                    <c:v>30سنبله </c:v>
                  </c:pt>
                  <c:pt idx="859">
                    <c:v>30عقرب</c:v>
                  </c:pt>
                  <c:pt idx="860">
                    <c:v>30قوس</c:v>
                  </c:pt>
                  <c:pt idx="862">
                    <c:v>تاریخ ختم </c:v>
                  </c:pt>
                  <c:pt idx="863">
                    <c:v>30دلو</c:v>
                  </c:pt>
                  <c:pt idx="864">
                    <c:v>30حمل</c:v>
                  </c:pt>
                  <c:pt idx="865">
                    <c:v>31 قوس</c:v>
                  </c:pt>
                  <c:pt idx="866">
                    <c:v>30قوس </c:v>
                  </c:pt>
                  <c:pt idx="867">
                    <c:v>30قوس </c:v>
                  </c:pt>
                  <c:pt idx="869">
                    <c:v>30عقرب</c:v>
                  </c:pt>
                  <c:pt idx="870">
                    <c:v>30قوس</c:v>
                  </c:pt>
                  <c:pt idx="871">
                    <c:v>30سنبله </c:v>
                  </c:pt>
                  <c:pt idx="872">
                    <c:v>30سنبله </c:v>
                  </c:pt>
                  <c:pt idx="873">
                    <c:v>30عقرب</c:v>
                  </c:pt>
                  <c:pt idx="874">
                    <c:v>30قوس</c:v>
                  </c:pt>
                  <c:pt idx="878">
                    <c:v> -   </c:v>
                  </c:pt>
                  <c:pt idx="879">
                    <c:v> -   </c:v>
                  </c:pt>
                  <c:pt idx="881">
                    <c:v>تاریخ ختم </c:v>
                  </c:pt>
                  <c:pt idx="882">
                    <c:v>30قوس</c:v>
                  </c:pt>
                  <c:pt idx="883">
                    <c:v>30قوس</c:v>
                  </c:pt>
                  <c:pt idx="884">
                    <c:v>30قوس</c:v>
                  </c:pt>
                  <c:pt idx="885">
                    <c:v>30قوس</c:v>
                  </c:pt>
                  <c:pt idx="886">
                    <c:v>30قوس</c:v>
                  </c:pt>
                  <c:pt idx="887">
                    <c:v>30قوس</c:v>
                  </c:pt>
                  <c:pt idx="888">
                    <c:v>30قوس</c:v>
                  </c:pt>
                  <c:pt idx="890">
                    <c:v>30قوس</c:v>
                  </c:pt>
                  <c:pt idx="891">
                    <c:v>30قوس</c:v>
                  </c:pt>
                  <c:pt idx="892">
                    <c:v>30قوس</c:v>
                  </c:pt>
                  <c:pt idx="893">
                    <c:v>30قوس</c:v>
                  </c:pt>
                  <c:pt idx="894">
                    <c:v>30قوس</c:v>
                  </c:pt>
                  <c:pt idx="895">
                    <c:v>30قوس</c:v>
                  </c:pt>
                  <c:pt idx="896">
                    <c:v>30قوس</c:v>
                  </c:pt>
                  <c:pt idx="898">
                    <c:v>30قوس</c:v>
                  </c:pt>
                  <c:pt idx="899">
                    <c:v>30قوس</c:v>
                  </c:pt>
                  <c:pt idx="900">
                    <c:v>30قوس</c:v>
                  </c:pt>
                  <c:pt idx="901">
                    <c:v>30قوس</c:v>
                  </c:pt>
                  <c:pt idx="902">
                    <c:v>30قوس</c:v>
                  </c:pt>
                  <c:pt idx="903">
                    <c:v>30قوس</c:v>
                  </c:pt>
                  <c:pt idx="904">
                    <c:v>30قوس</c:v>
                  </c:pt>
                  <c:pt idx="906">
                    <c:v>30قوس</c:v>
                  </c:pt>
                  <c:pt idx="907">
                    <c:v>30قوس</c:v>
                  </c:pt>
                  <c:pt idx="908">
                    <c:v>30قوس</c:v>
                  </c:pt>
                  <c:pt idx="909">
                    <c:v>30قوس</c:v>
                  </c:pt>
                  <c:pt idx="910">
                    <c:v>30قوس</c:v>
                  </c:pt>
                  <c:pt idx="911">
                    <c:v>30قوس</c:v>
                  </c:pt>
                  <c:pt idx="913">
                    <c:v>30قوس</c:v>
                  </c:pt>
                  <c:pt idx="914">
                    <c:v>30قوس</c:v>
                  </c:pt>
                  <c:pt idx="915">
                    <c:v>30قوس</c:v>
                  </c:pt>
                  <c:pt idx="916">
                    <c:v>30قوس</c:v>
                  </c:pt>
                  <c:pt idx="917">
                    <c:v>30قوس</c:v>
                  </c:pt>
                  <c:pt idx="918">
                    <c:v>30قوس</c:v>
                  </c:pt>
                  <c:pt idx="919">
                    <c:v>30قوس</c:v>
                  </c:pt>
                  <c:pt idx="921">
                    <c:v>30قوس</c:v>
                  </c:pt>
                  <c:pt idx="922">
                    <c:v>30قوس</c:v>
                  </c:pt>
                  <c:pt idx="923">
                    <c:v>30قوس</c:v>
                  </c:pt>
                  <c:pt idx="924">
                    <c:v>30قوس</c:v>
                  </c:pt>
                  <c:pt idx="925">
                    <c:v>30قوس</c:v>
                  </c:pt>
                  <c:pt idx="927">
                    <c:v>30قوس</c:v>
                  </c:pt>
                  <c:pt idx="928">
                    <c:v>30قوس</c:v>
                  </c:pt>
                  <c:pt idx="929">
                    <c:v>30قوس</c:v>
                  </c:pt>
                  <c:pt idx="930">
                    <c:v>30قوس</c:v>
                  </c:pt>
                  <c:pt idx="931">
                    <c:v>30قوس</c:v>
                  </c:pt>
                  <c:pt idx="932">
                    <c:v>30قوس</c:v>
                  </c:pt>
                  <c:pt idx="933">
                    <c:v>30قوس</c:v>
                  </c:pt>
                  <c:pt idx="934">
                    <c:v>30قوس</c:v>
                  </c:pt>
                  <c:pt idx="936">
                    <c:v>30قوس</c:v>
                  </c:pt>
                  <c:pt idx="937">
                    <c:v>30قوس</c:v>
                  </c:pt>
                  <c:pt idx="938">
                    <c:v>30قوس</c:v>
                  </c:pt>
                  <c:pt idx="939">
                    <c:v>30قوس</c:v>
                  </c:pt>
                  <c:pt idx="940">
                    <c:v>30قوس</c:v>
                  </c:pt>
                  <c:pt idx="941">
                    <c:v>30قوس</c:v>
                  </c:pt>
                  <c:pt idx="942">
                    <c:v>30قوس</c:v>
                  </c:pt>
                  <c:pt idx="944">
                    <c:v>30قوس</c:v>
                  </c:pt>
                  <c:pt idx="945">
                    <c:v>30قوس</c:v>
                  </c:pt>
                  <c:pt idx="946">
                    <c:v>30قوس</c:v>
                  </c:pt>
                  <c:pt idx="947">
                    <c:v>30قوس</c:v>
                  </c:pt>
                  <c:pt idx="948">
                    <c:v>30قوس</c:v>
                  </c:pt>
                  <c:pt idx="949">
                    <c:v>30قوس</c:v>
                  </c:pt>
                  <c:pt idx="950">
                    <c:v>30قوس</c:v>
                  </c:pt>
                  <c:pt idx="952">
                    <c:v>30قوس</c:v>
                  </c:pt>
                  <c:pt idx="953">
                    <c:v>30قوس</c:v>
                  </c:pt>
                  <c:pt idx="954">
                    <c:v>30قوس</c:v>
                  </c:pt>
                  <c:pt idx="955">
                    <c:v>30قوس</c:v>
                  </c:pt>
                  <c:pt idx="956">
                    <c:v>30قوس</c:v>
                  </c:pt>
                  <c:pt idx="957">
                    <c:v>30قوس</c:v>
                  </c:pt>
                  <c:pt idx="958">
                    <c:v>30قوس</c:v>
                  </c:pt>
                  <c:pt idx="959">
                    <c:v>30قوس</c:v>
                  </c:pt>
                  <c:pt idx="961">
                    <c:v>30قوس</c:v>
                  </c:pt>
                  <c:pt idx="962">
                    <c:v>30قوس</c:v>
                  </c:pt>
                  <c:pt idx="963">
                    <c:v>30قوس</c:v>
                  </c:pt>
                  <c:pt idx="964">
                    <c:v>30قوس</c:v>
                  </c:pt>
                  <c:pt idx="965">
                    <c:v>30قوس</c:v>
                  </c:pt>
                  <c:pt idx="966">
                    <c:v>30قوس</c:v>
                  </c:pt>
                  <c:pt idx="967">
                    <c:v>30قوس</c:v>
                  </c:pt>
                  <c:pt idx="969">
                    <c:v>30قوس</c:v>
                  </c:pt>
                  <c:pt idx="970">
                    <c:v>30قوس</c:v>
                  </c:pt>
                  <c:pt idx="971">
                    <c:v>30قوس</c:v>
                  </c:pt>
                  <c:pt idx="972">
                    <c:v>30قوس</c:v>
                  </c:pt>
                  <c:pt idx="973">
                    <c:v>30قوس</c:v>
                  </c:pt>
                  <c:pt idx="974">
                    <c:v>30قوس</c:v>
                  </c:pt>
                  <c:pt idx="975">
                    <c:v>30قوس</c:v>
                  </c:pt>
                  <c:pt idx="977">
                    <c:v>30قوس</c:v>
                  </c:pt>
                  <c:pt idx="978">
                    <c:v>30قوس</c:v>
                  </c:pt>
                  <c:pt idx="979">
                    <c:v>30قوس</c:v>
                  </c:pt>
                  <c:pt idx="980">
                    <c:v>30قوس</c:v>
                  </c:pt>
                  <c:pt idx="981">
                    <c:v>30قوس</c:v>
                  </c:pt>
                  <c:pt idx="982">
                    <c:v>30قوس</c:v>
                  </c:pt>
                  <c:pt idx="983">
                    <c:v>30قوس</c:v>
                  </c:pt>
                  <c:pt idx="984">
                    <c:v>30قوس</c:v>
                  </c:pt>
                  <c:pt idx="985">
                    <c:v>30قوس</c:v>
                  </c:pt>
                  <c:pt idx="987">
                    <c:v>30قوس</c:v>
                  </c:pt>
                  <c:pt idx="988">
                    <c:v>30قوس</c:v>
                  </c:pt>
                  <c:pt idx="989">
                    <c:v>30قوس</c:v>
                  </c:pt>
                  <c:pt idx="990">
                    <c:v>30قوس</c:v>
                  </c:pt>
                  <c:pt idx="991">
                    <c:v>30قوس</c:v>
                  </c:pt>
                  <c:pt idx="992">
                    <c:v>30قوس</c:v>
                  </c:pt>
                  <c:pt idx="993">
                    <c:v>30قوس</c:v>
                  </c:pt>
                  <c:pt idx="995">
                    <c:v>30قوس</c:v>
                  </c:pt>
                  <c:pt idx="996">
                    <c:v>30قوس</c:v>
                  </c:pt>
                  <c:pt idx="997">
                    <c:v>30قوس</c:v>
                  </c:pt>
                  <c:pt idx="998">
                    <c:v>30قوس</c:v>
                  </c:pt>
                  <c:pt idx="999">
                    <c:v>30قوس</c:v>
                  </c:pt>
                  <c:pt idx="1000">
                    <c:v>30قوس</c:v>
                  </c:pt>
                  <c:pt idx="1002">
                    <c:v>1جدی</c:v>
                  </c:pt>
                  <c:pt idx="1003">
                    <c:v>1جدی</c:v>
                  </c:pt>
                  <c:pt idx="1004">
                    <c:v>1جدی</c:v>
                  </c:pt>
                  <c:pt idx="1005">
                    <c:v>1جدی</c:v>
                  </c:pt>
                  <c:pt idx="1006">
                    <c:v>1جدی</c:v>
                  </c:pt>
                  <c:pt idx="1007">
                    <c:v>1جدی</c:v>
                  </c:pt>
                  <c:pt idx="1008">
                    <c:v>1جدی</c:v>
                  </c:pt>
                  <c:pt idx="1009">
                    <c:v>1جدی</c:v>
                  </c:pt>
                  <c:pt idx="1010">
                    <c:v>1جدی</c:v>
                  </c:pt>
                  <c:pt idx="1011">
                    <c:v>1جدی</c:v>
                  </c:pt>
                  <c:pt idx="1012">
                    <c:v>1جدی</c:v>
                  </c:pt>
                  <c:pt idx="1013">
                    <c:v>1جدی</c:v>
                  </c:pt>
                  <c:pt idx="1014">
                    <c:v>1جدی</c:v>
                  </c:pt>
                  <c:pt idx="1015">
                    <c:v>1جدی</c:v>
                  </c:pt>
                  <c:pt idx="1016">
                    <c:v>1جدی</c:v>
                  </c:pt>
                  <c:pt idx="1018">
                    <c:v>30قوس</c:v>
                  </c:pt>
                  <c:pt idx="1019">
                    <c:v>30قوس</c:v>
                  </c:pt>
                  <c:pt idx="1020">
                    <c:v>30قوس</c:v>
                  </c:pt>
                  <c:pt idx="1021">
                    <c:v>30قوس</c:v>
                  </c:pt>
                  <c:pt idx="1022">
                    <c:v>30قوس</c:v>
                  </c:pt>
                  <c:pt idx="1023">
                    <c:v>30قوس</c:v>
                  </c:pt>
                  <c:pt idx="1024">
                    <c:v>30قوس</c:v>
                  </c:pt>
                  <c:pt idx="1026">
                    <c:v>30قوس</c:v>
                  </c:pt>
                  <c:pt idx="1027">
                    <c:v>30قوس</c:v>
                  </c:pt>
                  <c:pt idx="1028">
                    <c:v>30قوس</c:v>
                  </c:pt>
                  <c:pt idx="1029">
                    <c:v>30قوس</c:v>
                  </c:pt>
                  <c:pt idx="1030">
                    <c:v>30قوس</c:v>
                  </c:pt>
                  <c:pt idx="1031">
                    <c:v>30قوس</c:v>
                  </c:pt>
                  <c:pt idx="1032">
                    <c:v>30قوس</c:v>
                  </c:pt>
                  <c:pt idx="1033">
                    <c:v>30قوس</c:v>
                  </c:pt>
                  <c:pt idx="1035">
                    <c:v>30قوس</c:v>
                  </c:pt>
                  <c:pt idx="1036">
                    <c:v>30قوس</c:v>
                  </c:pt>
                  <c:pt idx="1037">
                    <c:v>30قوس</c:v>
                  </c:pt>
                  <c:pt idx="1038">
                    <c:v>30قوس</c:v>
                  </c:pt>
                  <c:pt idx="1039">
                    <c:v>30قوس</c:v>
                  </c:pt>
                  <c:pt idx="1040">
                    <c:v>30قوس</c:v>
                  </c:pt>
                  <c:pt idx="1041">
                    <c:v>30قوس</c:v>
                  </c:pt>
                  <c:pt idx="1043">
                    <c:v>30قوس</c:v>
                  </c:pt>
                  <c:pt idx="1044">
                    <c:v>30قوس</c:v>
                  </c:pt>
                  <c:pt idx="1045">
                    <c:v>30قوس</c:v>
                  </c:pt>
                  <c:pt idx="1046">
                    <c:v>30قوس</c:v>
                  </c:pt>
                  <c:pt idx="1047">
                    <c:v>30قوس</c:v>
                  </c:pt>
                  <c:pt idx="1048">
                    <c:v>30قوس</c:v>
                  </c:pt>
                  <c:pt idx="1049">
                    <c:v>30قوس</c:v>
                  </c:pt>
                  <c:pt idx="1050">
                    <c:v>30قوس</c:v>
                  </c:pt>
                  <c:pt idx="1052">
                    <c:v>30قوس</c:v>
                  </c:pt>
                  <c:pt idx="1053">
                    <c:v>30قوس</c:v>
                  </c:pt>
                  <c:pt idx="1054">
                    <c:v>30قوس</c:v>
                  </c:pt>
                  <c:pt idx="1055">
                    <c:v>30قوس</c:v>
                  </c:pt>
                  <c:pt idx="1056">
                    <c:v>30قوس</c:v>
                  </c:pt>
                  <c:pt idx="1057">
                    <c:v>30قوس</c:v>
                  </c:pt>
                  <c:pt idx="1058">
                    <c:v>30قوس</c:v>
                  </c:pt>
                  <c:pt idx="1060">
                    <c:v>30قوس</c:v>
                  </c:pt>
                  <c:pt idx="1061">
                    <c:v>30قوس</c:v>
                  </c:pt>
                  <c:pt idx="1062">
                    <c:v>30قوس</c:v>
                  </c:pt>
                  <c:pt idx="1063">
                    <c:v>30قوس</c:v>
                  </c:pt>
                  <c:pt idx="1064">
                    <c:v>30قوس</c:v>
                  </c:pt>
                  <c:pt idx="1065">
                    <c:v>30قوس</c:v>
                  </c:pt>
                  <c:pt idx="1066">
                    <c:v>30قوس</c:v>
                  </c:pt>
                  <c:pt idx="1068">
                    <c:v>30قوس</c:v>
                  </c:pt>
                  <c:pt idx="1069">
                    <c:v>30قوس</c:v>
                  </c:pt>
                  <c:pt idx="1070">
                    <c:v>30قوس</c:v>
                  </c:pt>
                  <c:pt idx="1071">
                    <c:v>30قوس</c:v>
                  </c:pt>
                  <c:pt idx="1072">
                    <c:v>30قوس</c:v>
                  </c:pt>
                  <c:pt idx="1073">
                    <c:v>30قوس</c:v>
                  </c:pt>
                  <c:pt idx="1074">
                    <c:v>30قوس</c:v>
                  </c:pt>
                  <c:pt idx="1076">
                    <c:v>30قوس</c:v>
                  </c:pt>
                  <c:pt idx="1077">
                    <c:v>30قوس</c:v>
                  </c:pt>
                  <c:pt idx="1078">
                    <c:v>30قوس</c:v>
                  </c:pt>
                  <c:pt idx="1079">
                    <c:v>30قوس</c:v>
                  </c:pt>
                  <c:pt idx="1080">
                    <c:v>30قوس</c:v>
                  </c:pt>
                  <c:pt idx="1081">
                    <c:v>30قوس</c:v>
                  </c:pt>
                  <c:pt idx="1082">
                    <c:v>30قوس</c:v>
                  </c:pt>
                  <c:pt idx="1084">
                    <c:v>30قوس</c:v>
                  </c:pt>
                  <c:pt idx="1085">
                    <c:v>30قوس</c:v>
                  </c:pt>
                  <c:pt idx="1086">
                    <c:v>30قوس</c:v>
                  </c:pt>
                  <c:pt idx="1087">
                    <c:v>30قوس</c:v>
                  </c:pt>
                  <c:pt idx="1088">
                    <c:v>30قوس</c:v>
                  </c:pt>
                  <c:pt idx="1089">
                    <c:v>30قوس</c:v>
                  </c:pt>
                  <c:pt idx="1090">
                    <c:v>30قوس</c:v>
                  </c:pt>
                  <c:pt idx="1092">
                    <c:v>30قوس</c:v>
                  </c:pt>
                  <c:pt idx="1093">
                    <c:v>30قوس</c:v>
                  </c:pt>
                  <c:pt idx="1094">
                    <c:v>30قوس</c:v>
                  </c:pt>
                  <c:pt idx="1095">
                    <c:v>30قوس</c:v>
                  </c:pt>
                  <c:pt idx="1096">
                    <c:v>30قوس</c:v>
                  </c:pt>
                  <c:pt idx="1097">
                    <c:v>30قوس</c:v>
                  </c:pt>
                  <c:pt idx="1099">
                    <c:v>30قوس</c:v>
                  </c:pt>
                  <c:pt idx="1100">
                    <c:v>30قوس</c:v>
                  </c:pt>
                  <c:pt idx="1101">
                    <c:v>30قوس</c:v>
                  </c:pt>
                  <c:pt idx="1102">
                    <c:v>30قوس</c:v>
                  </c:pt>
                  <c:pt idx="1103">
                    <c:v>30قوس</c:v>
                  </c:pt>
                  <c:pt idx="1104">
                    <c:v>30قوس</c:v>
                  </c:pt>
                  <c:pt idx="1105">
                    <c:v>30قوس</c:v>
                  </c:pt>
                  <c:pt idx="1107">
                    <c:v>30قوس</c:v>
                  </c:pt>
                  <c:pt idx="1108">
                    <c:v>30قوس</c:v>
                  </c:pt>
                  <c:pt idx="1109">
                    <c:v>30قوس</c:v>
                  </c:pt>
                  <c:pt idx="1110">
                    <c:v>30قوس</c:v>
                  </c:pt>
                  <c:pt idx="1111">
                    <c:v>30قوس</c:v>
                  </c:pt>
                  <c:pt idx="1112">
                    <c:v>30قوس</c:v>
                  </c:pt>
                  <c:pt idx="1113">
                    <c:v>30قوس</c:v>
                  </c:pt>
                  <c:pt idx="1115">
                    <c:v> -   </c:v>
                  </c:pt>
                  <c:pt idx="1117">
                    <c:v>تاریخ ختم</c:v>
                  </c:pt>
                  <c:pt idx="1118">
                    <c:v>9/1397</c:v>
                  </c:pt>
                  <c:pt idx="1119">
                    <c:v>9/1397</c:v>
                  </c:pt>
                  <c:pt idx="1120">
                    <c:v>09/1397</c:v>
                  </c:pt>
                  <c:pt idx="1121">
                    <c:v>9/1397</c:v>
                  </c:pt>
                  <c:pt idx="1123">
                    <c:v>تاریخ ختم</c:v>
                  </c:pt>
                  <c:pt idx="1124">
                    <c:v>9/1397</c:v>
                  </c:pt>
                  <c:pt idx="1125">
                    <c:v>9/1397</c:v>
                  </c:pt>
                  <c:pt idx="1127">
                    <c:v>تاریخ ختم</c:v>
                  </c:pt>
                  <c:pt idx="1128">
                    <c:v>9/1397</c:v>
                  </c:pt>
                  <c:pt idx="1130">
                    <c:v> -   </c:v>
                  </c:pt>
                  <c:pt idx="1132">
                    <c:v>9/1397</c:v>
                  </c:pt>
                  <c:pt idx="1133">
                    <c:v>9/1397</c:v>
                  </c:pt>
                  <c:pt idx="1155">
                    <c:v>                منظور کننده             </c:v>
                  </c:pt>
                  <c:pt idx="1156">
                    <c:v>نصیراحمد درانی  </c:v>
                  </c:pt>
                  <c:pt idx="1157">
                    <c:v> وزیر زراعت، آبیاری ومالداری</c:v>
                  </c:pt>
                </c:lvl>
                <c:lvl>
                  <c:pt idx="2">
                    <c:v>کمیت</c:v>
                  </c:pt>
                  <c:pt idx="4">
                    <c:v>8</c:v>
                  </c:pt>
                  <c:pt idx="5">
                    <c:v>80</c:v>
                  </c:pt>
                  <c:pt idx="6">
                    <c:v>0</c:v>
                  </c:pt>
                  <c:pt idx="8">
                    <c:v>کمیت</c:v>
                  </c:pt>
                  <c:pt idx="9">
                    <c:v>10</c:v>
                  </c:pt>
                  <c:pt idx="10">
                    <c:v>100</c:v>
                  </c:pt>
                  <c:pt idx="13">
                    <c:v>کمیت</c:v>
                  </c:pt>
                  <c:pt idx="14">
                    <c:v>4</c:v>
                  </c:pt>
                  <c:pt idx="15">
                    <c:v>40</c:v>
                  </c:pt>
                  <c:pt idx="16">
                    <c:v>200</c:v>
                  </c:pt>
                  <c:pt idx="17">
                    <c:v>0</c:v>
                  </c:pt>
                  <c:pt idx="19">
                    <c:v>کمیت</c:v>
                  </c:pt>
                  <c:pt idx="20">
                    <c:v>4</c:v>
                  </c:pt>
                  <c:pt idx="21">
                    <c:v>40</c:v>
                  </c:pt>
                  <c:pt idx="24">
                    <c:v>کمیت</c:v>
                  </c:pt>
                  <c:pt idx="25">
                    <c:v>6</c:v>
                  </c:pt>
                  <c:pt idx="26">
                    <c:v>60</c:v>
                  </c:pt>
                  <c:pt idx="27">
                    <c:v>0</c:v>
                  </c:pt>
                  <c:pt idx="29">
                    <c:v>کمیت</c:v>
                  </c:pt>
                  <c:pt idx="30">
                    <c:v>2</c:v>
                  </c:pt>
                  <c:pt idx="33">
                    <c:v>کمیت</c:v>
                  </c:pt>
                  <c:pt idx="34">
                    <c:v>1</c:v>
                  </c:pt>
                  <c:pt idx="37">
                    <c:v>کمیت</c:v>
                  </c:pt>
                  <c:pt idx="38">
                    <c:v>1</c:v>
                  </c:pt>
                  <c:pt idx="41">
                    <c:v>کمیت</c:v>
                  </c:pt>
                  <c:pt idx="42">
                    <c:v>10</c:v>
                  </c:pt>
                  <c:pt idx="43">
                    <c:v>50</c:v>
                  </c:pt>
                  <c:pt idx="44">
                    <c:v>200</c:v>
                  </c:pt>
                  <c:pt idx="47">
                    <c:v>کمیت</c:v>
                  </c:pt>
                  <c:pt idx="48">
                    <c:v>18</c:v>
                  </c:pt>
                  <c:pt idx="49">
                    <c:v>180</c:v>
                  </c:pt>
                  <c:pt idx="50">
                    <c:v>5000</c:v>
                  </c:pt>
                  <c:pt idx="51">
                    <c:v>900</c:v>
                  </c:pt>
                  <c:pt idx="52">
                    <c:v>100</c:v>
                  </c:pt>
                  <c:pt idx="54">
                    <c:v>کمیت</c:v>
                  </c:pt>
                  <c:pt idx="55">
                    <c:v>4</c:v>
                  </c:pt>
                  <c:pt idx="56">
                    <c:v>40</c:v>
                  </c:pt>
                  <c:pt idx="59">
                    <c:v>کمیت</c:v>
                  </c:pt>
                  <c:pt idx="60">
                    <c:v>6</c:v>
                  </c:pt>
                  <c:pt idx="61">
                    <c:v>60</c:v>
                  </c:pt>
                  <c:pt idx="64">
                    <c:v>کمیت</c:v>
                  </c:pt>
                  <c:pt idx="65">
                    <c:v>2</c:v>
                  </c:pt>
                  <c:pt idx="70">
                    <c:v>تعداد</c:v>
                  </c:pt>
                  <c:pt idx="72">
                    <c:v>1</c:v>
                  </c:pt>
                  <c:pt idx="73">
                    <c:v>20</c:v>
                  </c:pt>
                  <c:pt idx="74">
                    <c:v>40</c:v>
                  </c:pt>
                  <c:pt idx="75">
                    <c:v>60</c:v>
                  </c:pt>
                  <c:pt idx="76">
                    <c:v>300</c:v>
                  </c:pt>
                  <c:pt idx="77">
                    <c:v>600000</c:v>
                  </c:pt>
                  <c:pt idx="78">
                    <c:v>10</c:v>
                  </c:pt>
                  <c:pt idx="79">
                    <c:v>50000</c:v>
                  </c:pt>
                  <c:pt idx="80">
                    <c:v>50000</c:v>
                  </c:pt>
                  <c:pt idx="81">
                    <c:v>15</c:v>
                  </c:pt>
                  <c:pt idx="82">
                    <c:v>12</c:v>
                  </c:pt>
                  <c:pt idx="83">
                    <c:v>50000</c:v>
                  </c:pt>
                  <c:pt idx="84">
                    <c:v>1</c:v>
                  </c:pt>
                  <c:pt idx="86">
                    <c:v>کمیت</c:v>
                  </c:pt>
                  <c:pt idx="87">
                    <c:v>40</c:v>
                  </c:pt>
                  <c:pt idx="88">
                    <c:v>1</c:v>
                  </c:pt>
                  <c:pt idx="89">
                    <c:v>1</c:v>
                  </c:pt>
                  <c:pt idx="90">
                    <c:v>66</c:v>
                  </c:pt>
                  <c:pt idx="91">
                    <c:v>76000</c:v>
                  </c:pt>
                  <c:pt idx="92">
                    <c:v>76000</c:v>
                  </c:pt>
                  <c:pt idx="93">
                    <c:v>66000</c:v>
                  </c:pt>
                  <c:pt idx="94">
                    <c:v>1</c:v>
                  </c:pt>
                  <c:pt idx="95">
                    <c:v>66000</c:v>
                  </c:pt>
                  <c:pt idx="96">
                    <c:v>66000</c:v>
                  </c:pt>
                  <c:pt idx="97">
                    <c:v>1320000</c:v>
                  </c:pt>
                  <c:pt idx="98">
                    <c:v>66000</c:v>
                  </c:pt>
                  <c:pt idx="99">
                    <c:v>40000</c:v>
                  </c:pt>
                  <c:pt idx="100">
                    <c:v>15</c:v>
                  </c:pt>
                  <c:pt idx="101">
                    <c:v>20000</c:v>
                  </c:pt>
                  <c:pt idx="102">
                    <c:v>200</c:v>
                  </c:pt>
                  <c:pt idx="103">
                    <c:v>20000</c:v>
                  </c:pt>
                  <c:pt idx="104">
                    <c:v> 1 </c:v>
                  </c:pt>
                  <c:pt idx="105">
                    <c:v> 10 </c:v>
                  </c:pt>
                  <c:pt idx="106">
                    <c:v>50000</c:v>
                  </c:pt>
                  <c:pt idx="107">
                    <c:v>50000</c:v>
                  </c:pt>
                  <c:pt idx="108">
                    <c:v>15</c:v>
                  </c:pt>
                  <c:pt idx="109">
                    <c:v>12</c:v>
                  </c:pt>
                  <c:pt idx="110">
                    <c:v>50000</c:v>
                  </c:pt>
                  <c:pt idx="111">
                    <c:v>200</c:v>
                  </c:pt>
                  <c:pt idx="112">
                    <c:v>1</c:v>
                  </c:pt>
                  <c:pt idx="114">
                    <c:v>کمیت</c:v>
                  </c:pt>
                  <c:pt idx="115">
                    <c:v>1</c:v>
                  </c:pt>
                  <c:pt idx="116">
                    <c:v>20</c:v>
                  </c:pt>
                  <c:pt idx="117">
                    <c:v>40</c:v>
                  </c:pt>
                  <c:pt idx="118">
                    <c:v>100</c:v>
                  </c:pt>
                  <c:pt idx="119">
                    <c:v>500</c:v>
                  </c:pt>
                  <c:pt idx="120">
                    <c:v>1000000</c:v>
                  </c:pt>
                  <c:pt idx="121">
                    <c:v>10</c:v>
                  </c:pt>
                  <c:pt idx="122">
                    <c:v>50000</c:v>
                  </c:pt>
                  <c:pt idx="123">
                    <c:v>50000</c:v>
                  </c:pt>
                  <c:pt idx="124">
                    <c:v>15</c:v>
                  </c:pt>
                  <c:pt idx="125">
                    <c:v>12</c:v>
                  </c:pt>
                  <c:pt idx="126">
                    <c:v>50000</c:v>
                  </c:pt>
                  <c:pt idx="127">
                    <c:v>1</c:v>
                  </c:pt>
                  <c:pt idx="129">
                    <c:v>کمیت</c:v>
                  </c:pt>
                  <c:pt idx="130">
                    <c:v>1</c:v>
                  </c:pt>
                  <c:pt idx="131">
                    <c:v>50</c:v>
                  </c:pt>
                  <c:pt idx="132">
                    <c:v>60000</c:v>
                  </c:pt>
                  <c:pt idx="133">
                    <c:v>60000</c:v>
                  </c:pt>
                  <c:pt idx="134">
                    <c:v>50000</c:v>
                  </c:pt>
                  <c:pt idx="135">
                    <c:v>1</c:v>
                  </c:pt>
                  <c:pt idx="136">
                    <c:v>50000</c:v>
                  </c:pt>
                  <c:pt idx="137">
                    <c:v>50000</c:v>
                  </c:pt>
                  <c:pt idx="138">
                    <c:v>1000000</c:v>
                  </c:pt>
                  <c:pt idx="139">
                    <c:v>50000</c:v>
                  </c:pt>
                  <c:pt idx="140">
                    <c:v>40000</c:v>
                  </c:pt>
                  <c:pt idx="141">
                    <c:v>15</c:v>
                  </c:pt>
                  <c:pt idx="142">
                    <c:v>20000</c:v>
                  </c:pt>
                  <c:pt idx="143">
                    <c:v>200</c:v>
                  </c:pt>
                  <c:pt idx="144">
                    <c:v>20000</c:v>
                  </c:pt>
                  <c:pt idx="145">
                    <c:v> 1 </c:v>
                  </c:pt>
                  <c:pt idx="146">
                    <c:v> 10 </c:v>
                  </c:pt>
                  <c:pt idx="147">
                    <c:v>50000</c:v>
                  </c:pt>
                  <c:pt idx="148">
                    <c:v>50000</c:v>
                  </c:pt>
                  <c:pt idx="149">
                    <c:v>50000</c:v>
                  </c:pt>
                  <c:pt idx="150">
                    <c:v>10</c:v>
                  </c:pt>
                  <c:pt idx="151">
                    <c:v>12</c:v>
                  </c:pt>
                  <c:pt idx="152">
                    <c:v>100000</c:v>
                  </c:pt>
                  <c:pt idx="153">
                    <c:v>2</c:v>
                  </c:pt>
                  <c:pt idx="154">
                    <c:v>200</c:v>
                  </c:pt>
                  <c:pt idx="155">
                    <c:v>1</c:v>
                  </c:pt>
                  <c:pt idx="157">
                    <c:v>کمیت</c:v>
                  </c:pt>
                  <c:pt idx="158">
                    <c:v> 1 </c:v>
                  </c:pt>
                  <c:pt idx="159">
                    <c:v> 20 </c:v>
                  </c:pt>
                  <c:pt idx="160">
                    <c:v>40</c:v>
                  </c:pt>
                  <c:pt idx="161">
                    <c:v>100</c:v>
                  </c:pt>
                  <c:pt idx="162">
                    <c:v>500</c:v>
                  </c:pt>
                  <c:pt idx="163">
                    <c:v>1000000</c:v>
                  </c:pt>
                  <c:pt idx="164">
                    <c:v>20</c:v>
                  </c:pt>
                  <c:pt idx="165">
                    <c:v> 100,000 </c:v>
                  </c:pt>
                  <c:pt idx="166">
                    <c:v> 100,000 </c:v>
                  </c:pt>
                  <c:pt idx="167">
                    <c:v> 30 </c:v>
                  </c:pt>
                  <c:pt idx="168">
                    <c:v> 24 </c:v>
                  </c:pt>
                  <c:pt idx="169">
                    <c:v> 100,000 </c:v>
                  </c:pt>
                  <c:pt idx="170">
                    <c:v> 1 </c:v>
                  </c:pt>
                  <c:pt idx="172">
                    <c:v>کمیت</c:v>
                  </c:pt>
                  <c:pt idx="173">
                    <c:v>40</c:v>
                  </c:pt>
                  <c:pt idx="174">
                    <c:v> 1 </c:v>
                  </c:pt>
                  <c:pt idx="175">
                    <c:v> 1 </c:v>
                  </c:pt>
                  <c:pt idx="176">
                    <c:v> 40,000 </c:v>
                  </c:pt>
                  <c:pt idx="177">
                    <c:v> 1 </c:v>
                  </c:pt>
                  <c:pt idx="178">
                    <c:v> 1 </c:v>
                  </c:pt>
                  <c:pt idx="180">
                    <c:v>کمیت</c:v>
                  </c:pt>
                  <c:pt idx="181">
                    <c:v>40</c:v>
                  </c:pt>
                  <c:pt idx="182">
                    <c:v> 1 </c:v>
                  </c:pt>
                  <c:pt idx="183">
                    <c:v> 1 </c:v>
                  </c:pt>
                  <c:pt idx="184">
                    <c:v> 40,000 </c:v>
                  </c:pt>
                  <c:pt idx="185">
                    <c:v> 1 </c:v>
                  </c:pt>
                  <c:pt idx="187">
                    <c:v>کمیت</c:v>
                  </c:pt>
                  <c:pt idx="188">
                    <c:v> 1 </c:v>
                  </c:pt>
                  <c:pt idx="189">
                    <c:v> 1 </c:v>
                  </c:pt>
                  <c:pt idx="190">
                    <c:v> 1 </c:v>
                  </c:pt>
                  <c:pt idx="191">
                    <c:v> 20 </c:v>
                  </c:pt>
                  <c:pt idx="192">
                    <c:v>50</c:v>
                  </c:pt>
                  <c:pt idx="193">
                    <c:v>60000</c:v>
                  </c:pt>
                  <c:pt idx="194">
                    <c:v>60000</c:v>
                  </c:pt>
                  <c:pt idx="195">
                    <c:v>50000</c:v>
                  </c:pt>
                  <c:pt idx="196">
                    <c:v>1</c:v>
                  </c:pt>
                  <c:pt idx="197">
                    <c:v>50000</c:v>
                  </c:pt>
                  <c:pt idx="198">
                    <c:v>50000</c:v>
                  </c:pt>
                  <c:pt idx="199">
                    <c:v>1000000</c:v>
                  </c:pt>
                  <c:pt idx="200">
                    <c:v>50000</c:v>
                  </c:pt>
                  <c:pt idx="201">
                    <c:v>40000</c:v>
                  </c:pt>
                  <c:pt idx="202">
                    <c:v>15</c:v>
                  </c:pt>
                  <c:pt idx="203">
                    <c:v>20000</c:v>
                  </c:pt>
                  <c:pt idx="204">
                    <c:v>200</c:v>
                  </c:pt>
                  <c:pt idx="205">
                    <c:v>20000</c:v>
                  </c:pt>
                  <c:pt idx="206">
                    <c:v> 1 </c:v>
                  </c:pt>
                  <c:pt idx="207">
                    <c:v> 10 </c:v>
                  </c:pt>
                  <c:pt idx="208">
                    <c:v> 50,000 </c:v>
                  </c:pt>
                  <c:pt idx="209">
                    <c:v> 50,000 </c:v>
                  </c:pt>
                  <c:pt idx="210">
                    <c:v> 50,000 </c:v>
                  </c:pt>
                  <c:pt idx="211">
                    <c:v> 15 </c:v>
                  </c:pt>
                  <c:pt idx="212">
                    <c:v> 12 </c:v>
                  </c:pt>
                  <c:pt idx="213">
                    <c:v> 200 </c:v>
                  </c:pt>
                  <c:pt idx="214">
                    <c:v> 1 </c:v>
                  </c:pt>
                  <c:pt idx="216">
                    <c:v>کمیت</c:v>
                  </c:pt>
                  <c:pt idx="217">
                    <c:v>1</c:v>
                  </c:pt>
                  <c:pt idx="218">
                    <c:v>40</c:v>
                  </c:pt>
                  <c:pt idx="219">
                    <c:v>50</c:v>
                  </c:pt>
                  <c:pt idx="220">
                    <c:v>60000</c:v>
                  </c:pt>
                  <c:pt idx="221">
                    <c:v>60000</c:v>
                  </c:pt>
                  <c:pt idx="222">
                    <c:v>50000</c:v>
                  </c:pt>
                  <c:pt idx="223">
                    <c:v>1</c:v>
                  </c:pt>
                  <c:pt idx="224">
                    <c:v>50000</c:v>
                  </c:pt>
                  <c:pt idx="225">
                    <c:v>50000</c:v>
                  </c:pt>
                  <c:pt idx="226">
                    <c:v>1000000</c:v>
                  </c:pt>
                  <c:pt idx="227">
                    <c:v>50000</c:v>
                  </c:pt>
                  <c:pt idx="228">
                    <c:v>40000</c:v>
                  </c:pt>
                  <c:pt idx="229">
                    <c:v>15</c:v>
                  </c:pt>
                  <c:pt idx="230">
                    <c:v>20000</c:v>
                  </c:pt>
                  <c:pt idx="231">
                    <c:v>200</c:v>
                  </c:pt>
                  <c:pt idx="232">
                    <c:v>20000</c:v>
                  </c:pt>
                  <c:pt idx="233">
                    <c:v> 1 </c:v>
                  </c:pt>
                  <c:pt idx="234">
                    <c:v>200</c:v>
                  </c:pt>
                  <c:pt idx="235">
                    <c:v>1</c:v>
                  </c:pt>
                  <c:pt idx="237">
                    <c:v>کمیت</c:v>
                  </c:pt>
                  <c:pt idx="238">
                    <c:v>1</c:v>
                  </c:pt>
                  <c:pt idx="239">
                    <c:v>1</c:v>
                  </c:pt>
                  <c:pt idx="240">
                    <c:v>100</c:v>
                  </c:pt>
                  <c:pt idx="241">
                    <c:v>500</c:v>
                  </c:pt>
                  <c:pt idx="242">
                    <c:v>1000000</c:v>
                  </c:pt>
                  <c:pt idx="243">
                    <c:v>1</c:v>
                  </c:pt>
                  <c:pt idx="245">
                    <c:v>کمیت</c:v>
                  </c:pt>
                  <c:pt idx="246">
                    <c:v>1</c:v>
                  </c:pt>
                  <c:pt idx="247">
                    <c:v>1</c:v>
                  </c:pt>
                  <c:pt idx="248">
                    <c:v>100</c:v>
                  </c:pt>
                  <c:pt idx="249">
                    <c:v>500</c:v>
                  </c:pt>
                  <c:pt idx="250">
                    <c:v>1000000</c:v>
                  </c:pt>
                  <c:pt idx="251">
                    <c:v>1</c:v>
                  </c:pt>
                  <c:pt idx="253">
                    <c:v>کمیت</c:v>
                  </c:pt>
                  <c:pt idx="254">
                    <c:v>1</c:v>
                  </c:pt>
                  <c:pt idx="255">
                    <c:v>20</c:v>
                  </c:pt>
                  <c:pt idx="256">
                    <c:v>100</c:v>
                  </c:pt>
                  <c:pt idx="257">
                    <c:v>500</c:v>
                  </c:pt>
                  <c:pt idx="258">
                    <c:v>1000000</c:v>
                  </c:pt>
                  <c:pt idx="259">
                    <c:v>1</c:v>
                  </c:pt>
                  <c:pt idx="261">
                    <c:v>کمیت</c:v>
                  </c:pt>
                  <c:pt idx="262">
                    <c:v>1</c:v>
                  </c:pt>
                  <c:pt idx="263">
                    <c:v>20</c:v>
                  </c:pt>
                  <c:pt idx="264">
                    <c:v>100</c:v>
                  </c:pt>
                  <c:pt idx="265">
                    <c:v>500</c:v>
                  </c:pt>
                  <c:pt idx="266">
                    <c:v>1000000</c:v>
                  </c:pt>
                  <c:pt idx="267">
                    <c:v>1</c:v>
                  </c:pt>
                  <c:pt idx="269">
                    <c:v>کمیت</c:v>
                  </c:pt>
                  <c:pt idx="270">
                    <c:v>1</c:v>
                  </c:pt>
                  <c:pt idx="271">
                    <c:v>20</c:v>
                  </c:pt>
                  <c:pt idx="272">
                    <c:v>100</c:v>
                  </c:pt>
                  <c:pt idx="273">
                    <c:v>500</c:v>
                  </c:pt>
                  <c:pt idx="274">
                    <c:v>1000000</c:v>
                  </c:pt>
                  <c:pt idx="275">
                    <c:v>20</c:v>
                  </c:pt>
                  <c:pt idx="276">
                    <c:v> 100,000 </c:v>
                  </c:pt>
                  <c:pt idx="277">
                    <c:v> 100,000 </c:v>
                  </c:pt>
                  <c:pt idx="278">
                    <c:v> 30 </c:v>
                  </c:pt>
                  <c:pt idx="279">
                    <c:v> 24 </c:v>
                  </c:pt>
                  <c:pt idx="280">
                    <c:v> 100,000 </c:v>
                  </c:pt>
                  <c:pt idx="281">
                    <c:v>1</c:v>
                  </c:pt>
                  <c:pt idx="283">
                    <c:v>کمیت</c:v>
                  </c:pt>
                  <c:pt idx="284">
                    <c:v>1</c:v>
                  </c:pt>
                  <c:pt idx="285">
                    <c:v>20</c:v>
                  </c:pt>
                  <c:pt idx="286">
                    <c:v>100</c:v>
                  </c:pt>
                  <c:pt idx="287">
                    <c:v>500</c:v>
                  </c:pt>
                  <c:pt idx="288">
                    <c:v>1000000</c:v>
                  </c:pt>
                  <c:pt idx="289">
                    <c:v>10</c:v>
                  </c:pt>
                  <c:pt idx="290">
                    <c:v> 50,000 </c:v>
                  </c:pt>
                  <c:pt idx="291">
                    <c:v> 50,000 </c:v>
                  </c:pt>
                  <c:pt idx="292">
                    <c:v> 15 </c:v>
                  </c:pt>
                  <c:pt idx="293">
                    <c:v> 24 </c:v>
                  </c:pt>
                  <c:pt idx="294">
                    <c:v> 50,000 </c:v>
                  </c:pt>
                  <c:pt idx="295">
                    <c:v>1</c:v>
                  </c:pt>
                  <c:pt idx="297">
                    <c:v>1</c:v>
                  </c:pt>
                  <c:pt idx="298">
                    <c:v>1</c:v>
                  </c:pt>
                  <c:pt idx="302">
                    <c:v>کمیت</c:v>
                  </c:pt>
                  <c:pt idx="303">
                    <c:v>2000</c:v>
                  </c:pt>
                  <c:pt idx="304">
                    <c:v>6000</c:v>
                  </c:pt>
                  <c:pt idx="305">
                    <c:v>287</c:v>
                  </c:pt>
                  <c:pt idx="306">
                    <c:v>20</c:v>
                  </c:pt>
                  <c:pt idx="307">
                    <c:v>10000</c:v>
                  </c:pt>
                  <c:pt idx="308">
                    <c:v>2000</c:v>
                  </c:pt>
                  <c:pt idx="309">
                    <c:v>1</c:v>
                  </c:pt>
                  <c:pt idx="311">
                    <c:v>10000</c:v>
                  </c:pt>
                  <c:pt idx="312">
                    <c:v>6000</c:v>
                  </c:pt>
                  <c:pt idx="313">
                    <c:v>250</c:v>
                  </c:pt>
                  <c:pt idx="314">
                    <c:v>11</c:v>
                  </c:pt>
                  <c:pt idx="315">
                    <c:v>10000</c:v>
                  </c:pt>
                  <c:pt idx="316">
                    <c:v>2000</c:v>
                  </c:pt>
                  <c:pt idx="317">
                    <c:v>1</c:v>
                  </c:pt>
                  <c:pt idx="319">
                    <c:v>10000</c:v>
                  </c:pt>
                  <c:pt idx="320">
                    <c:v>2000</c:v>
                  </c:pt>
                  <c:pt idx="321">
                    <c:v>6000</c:v>
                  </c:pt>
                  <c:pt idx="322">
                    <c:v>300</c:v>
                  </c:pt>
                  <c:pt idx="323">
                    <c:v>20</c:v>
                  </c:pt>
                  <c:pt idx="324">
                    <c:v>10000</c:v>
                  </c:pt>
                  <c:pt idx="325">
                    <c:v>1</c:v>
                  </c:pt>
                  <c:pt idx="327">
                    <c:v>60000</c:v>
                  </c:pt>
                  <c:pt idx="328">
                    <c:v>1000</c:v>
                  </c:pt>
                  <c:pt idx="329">
                    <c:v>500</c:v>
                  </c:pt>
                  <c:pt idx="330">
                    <c:v>4000</c:v>
                  </c:pt>
                  <c:pt idx="331">
                    <c:v>1</c:v>
                  </c:pt>
                  <c:pt idx="332">
                    <c:v>1</c:v>
                  </c:pt>
                  <c:pt idx="334">
                    <c:v>8000</c:v>
                  </c:pt>
                  <c:pt idx="335">
                    <c:v>2000</c:v>
                  </c:pt>
                  <c:pt idx="336">
                    <c:v>6000</c:v>
                  </c:pt>
                  <c:pt idx="337">
                    <c:v>250</c:v>
                  </c:pt>
                  <c:pt idx="338">
                    <c:v>12</c:v>
                  </c:pt>
                  <c:pt idx="339">
                    <c:v>1</c:v>
                  </c:pt>
                  <c:pt idx="340">
                    <c:v>1</c:v>
                  </c:pt>
                  <c:pt idx="342">
                    <c:v>8000</c:v>
                  </c:pt>
                  <c:pt idx="346">
                    <c:v>1</c:v>
                  </c:pt>
                  <c:pt idx="348">
                    <c:v>40000</c:v>
                  </c:pt>
                  <c:pt idx="349">
                    <c:v>4000</c:v>
                  </c:pt>
                  <c:pt idx="350">
                    <c:v>20000</c:v>
                  </c:pt>
                  <c:pt idx="351">
                    <c:v>14000</c:v>
                  </c:pt>
                  <c:pt idx="352">
                    <c:v>300</c:v>
                  </c:pt>
                  <c:pt idx="353">
                    <c:v>20</c:v>
                  </c:pt>
                  <c:pt idx="354">
                    <c:v>15000</c:v>
                  </c:pt>
                  <c:pt idx="355">
                    <c:v>1</c:v>
                  </c:pt>
                  <c:pt idx="357">
                    <c:v>6000</c:v>
                  </c:pt>
                  <c:pt idx="358">
                    <c:v>4000</c:v>
                  </c:pt>
                  <c:pt idx="359">
                    <c:v>300</c:v>
                  </c:pt>
                  <c:pt idx="360">
                    <c:v>15</c:v>
                  </c:pt>
                  <c:pt idx="361">
                    <c:v>2000</c:v>
                  </c:pt>
                  <c:pt idx="362">
                    <c:v>1</c:v>
                  </c:pt>
                  <c:pt idx="363">
                    <c:v>1</c:v>
                  </c:pt>
                  <c:pt idx="365">
                    <c:v>10000</c:v>
                  </c:pt>
                  <c:pt idx="366">
                    <c:v>2000</c:v>
                  </c:pt>
                  <c:pt idx="367">
                    <c:v>12000</c:v>
                  </c:pt>
                  <c:pt idx="368">
                    <c:v>300</c:v>
                  </c:pt>
                  <c:pt idx="369">
                    <c:v>15</c:v>
                  </c:pt>
                  <c:pt idx="370">
                    <c:v>20000</c:v>
                  </c:pt>
                  <c:pt idx="371">
                    <c:v>1</c:v>
                  </c:pt>
                  <c:pt idx="373">
                    <c:v>12000</c:v>
                  </c:pt>
                  <c:pt idx="374">
                    <c:v>2000</c:v>
                  </c:pt>
                  <c:pt idx="375">
                    <c:v>20000</c:v>
                  </c:pt>
                  <c:pt idx="376">
                    <c:v>10000</c:v>
                  </c:pt>
                  <c:pt idx="377">
                    <c:v>300</c:v>
                  </c:pt>
                  <c:pt idx="378">
                    <c:v>12</c:v>
                  </c:pt>
                  <c:pt idx="379">
                    <c:v>10000</c:v>
                  </c:pt>
                  <c:pt idx="380">
                    <c:v>1</c:v>
                  </c:pt>
                  <c:pt idx="382">
                    <c:v>10000</c:v>
                  </c:pt>
                  <c:pt idx="383">
                    <c:v>2000</c:v>
                  </c:pt>
                  <c:pt idx="384">
                    <c:v>10000</c:v>
                  </c:pt>
                  <c:pt idx="385">
                    <c:v>300</c:v>
                  </c:pt>
                  <c:pt idx="386">
                    <c:v>20</c:v>
                  </c:pt>
                  <c:pt idx="387">
                    <c:v>10000</c:v>
                  </c:pt>
                  <c:pt idx="388">
                    <c:v>1</c:v>
                  </c:pt>
                  <c:pt idx="390">
                    <c:v>12000</c:v>
                  </c:pt>
                  <c:pt idx="391">
                    <c:v>2000</c:v>
                  </c:pt>
                  <c:pt idx="392">
                    <c:v>10000</c:v>
                  </c:pt>
                  <c:pt idx="393">
                    <c:v>250</c:v>
                  </c:pt>
                  <c:pt idx="394">
                    <c:v>15</c:v>
                  </c:pt>
                  <c:pt idx="395">
                    <c:v>1</c:v>
                  </c:pt>
                  <c:pt idx="396">
                    <c:v>1</c:v>
                  </c:pt>
                  <c:pt idx="398">
                    <c:v>12000</c:v>
                  </c:pt>
                  <c:pt idx="399">
                    <c:v>2000</c:v>
                  </c:pt>
                  <c:pt idx="400">
                    <c:v>10000</c:v>
                  </c:pt>
                  <c:pt idx="401">
                    <c:v>15000</c:v>
                  </c:pt>
                  <c:pt idx="402">
                    <c:v>300</c:v>
                  </c:pt>
                  <c:pt idx="403">
                    <c:v>11</c:v>
                  </c:pt>
                  <c:pt idx="404">
                    <c:v>10000</c:v>
                  </c:pt>
                  <c:pt idx="405">
                    <c:v>1</c:v>
                  </c:pt>
                  <c:pt idx="406">
                    <c:v>1</c:v>
                  </c:pt>
                  <c:pt idx="408">
                    <c:v>10000</c:v>
                  </c:pt>
                  <c:pt idx="409">
                    <c:v>6000</c:v>
                  </c:pt>
                  <c:pt idx="410">
                    <c:v>250</c:v>
                  </c:pt>
                  <c:pt idx="411">
                    <c:v>15</c:v>
                  </c:pt>
                  <c:pt idx="412">
                    <c:v>2000</c:v>
                  </c:pt>
                  <c:pt idx="413">
                    <c:v>1</c:v>
                  </c:pt>
                  <c:pt idx="414">
                    <c:v>1</c:v>
                  </c:pt>
                  <c:pt idx="416">
                    <c:v>20000</c:v>
                  </c:pt>
                  <c:pt idx="417">
                    <c:v>250</c:v>
                  </c:pt>
                  <c:pt idx="418">
                    <c:v>10</c:v>
                  </c:pt>
                  <c:pt idx="419">
                    <c:v>2000</c:v>
                  </c:pt>
                  <c:pt idx="420">
                    <c:v>1</c:v>
                  </c:pt>
                  <c:pt idx="421">
                    <c:v>1</c:v>
                  </c:pt>
                  <c:pt idx="423">
                    <c:v>30000</c:v>
                  </c:pt>
                  <c:pt idx="424">
                    <c:v>4000</c:v>
                  </c:pt>
                  <c:pt idx="425">
                    <c:v>40000</c:v>
                  </c:pt>
                  <c:pt idx="426">
                    <c:v>14000</c:v>
                  </c:pt>
                  <c:pt idx="427">
                    <c:v>300</c:v>
                  </c:pt>
                  <c:pt idx="428">
                    <c:v>20</c:v>
                  </c:pt>
                  <c:pt idx="429">
                    <c:v>15000</c:v>
                  </c:pt>
                  <c:pt idx="430">
                    <c:v>10000</c:v>
                  </c:pt>
                  <c:pt idx="431">
                    <c:v>10000</c:v>
                  </c:pt>
                  <c:pt idx="432">
                    <c:v>10000</c:v>
                  </c:pt>
                  <c:pt idx="433">
                    <c:v>1</c:v>
                  </c:pt>
                  <c:pt idx="434">
                    <c:v>1</c:v>
                  </c:pt>
                  <c:pt idx="435">
                    <c:v>35</c:v>
                  </c:pt>
                  <c:pt idx="436">
                    <c:v>10000</c:v>
                  </c:pt>
                  <c:pt idx="437">
                    <c:v>1</c:v>
                  </c:pt>
                  <c:pt idx="439">
                    <c:v>8000</c:v>
                  </c:pt>
                  <c:pt idx="440">
                    <c:v>6000</c:v>
                  </c:pt>
                  <c:pt idx="441">
                    <c:v>250</c:v>
                  </c:pt>
                  <c:pt idx="442">
                    <c:v>10</c:v>
                  </c:pt>
                  <c:pt idx="443">
                    <c:v>10000</c:v>
                  </c:pt>
                  <c:pt idx="444">
                    <c:v>2000</c:v>
                  </c:pt>
                  <c:pt idx="445">
                    <c:v>1</c:v>
                  </c:pt>
                  <c:pt idx="447">
                    <c:v>8000</c:v>
                  </c:pt>
                  <c:pt idx="448">
                    <c:v>30000</c:v>
                  </c:pt>
                  <c:pt idx="449">
                    <c:v>10000</c:v>
                  </c:pt>
                  <c:pt idx="450">
                    <c:v>300</c:v>
                  </c:pt>
                  <c:pt idx="451">
                    <c:v>15</c:v>
                  </c:pt>
                  <c:pt idx="452">
                    <c:v>10000</c:v>
                  </c:pt>
                  <c:pt idx="453">
                    <c:v>2000</c:v>
                  </c:pt>
                  <c:pt idx="454">
                    <c:v>1</c:v>
                  </c:pt>
                  <c:pt idx="456">
                    <c:v>16000</c:v>
                  </c:pt>
                  <c:pt idx="457">
                    <c:v>4000</c:v>
                  </c:pt>
                  <c:pt idx="458">
                    <c:v>12000</c:v>
                  </c:pt>
                  <c:pt idx="459">
                    <c:v>350</c:v>
                  </c:pt>
                  <c:pt idx="460">
                    <c:v>15</c:v>
                  </c:pt>
                  <c:pt idx="461">
                    <c:v>30000</c:v>
                  </c:pt>
                  <c:pt idx="462">
                    <c:v>1</c:v>
                  </c:pt>
                  <c:pt idx="464">
                    <c:v>12000</c:v>
                  </c:pt>
                  <c:pt idx="465">
                    <c:v>2000</c:v>
                  </c:pt>
                  <c:pt idx="466">
                    <c:v>20000</c:v>
                  </c:pt>
                  <c:pt idx="467">
                    <c:v>12000</c:v>
                  </c:pt>
                  <c:pt idx="468">
                    <c:v>300</c:v>
                  </c:pt>
                  <c:pt idx="469">
                    <c:v>15</c:v>
                  </c:pt>
                  <c:pt idx="470">
                    <c:v>10000</c:v>
                  </c:pt>
                  <c:pt idx="471">
                    <c:v>1</c:v>
                  </c:pt>
                  <c:pt idx="473">
                    <c:v>12000</c:v>
                  </c:pt>
                  <c:pt idx="474">
                    <c:v>10000</c:v>
                  </c:pt>
                  <c:pt idx="475">
                    <c:v>350</c:v>
                  </c:pt>
                  <c:pt idx="476">
                    <c:v>15</c:v>
                  </c:pt>
                  <c:pt idx="477">
                    <c:v>10000</c:v>
                  </c:pt>
                  <c:pt idx="478">
                    <c:v>2000</c:v>
                  </c:pt>
                  <c:pt idx="479">
                    <c:v>1</c:v>
                  </c:pt>
                  <c:pt idx="481">
                    <c:v>20000</c:v>
                  </c:pt>
                  <c:pt idx="482">
                    <c:v>12000</c:v>
                  </c:pt>
                  <c:pt idx="483">
                    <c:v>300</c:v>
                  </c:pt>
                  <c:pt idx="484">
                    <c:v>15</c:v>
                  </c:pt>
                  <c:pt idx="485">
                    <c:v>12000</c:v>
                  </c:pt>
                  <c:pt idx="486">
                    <c:v>4000</c:v>
                  </c:pt>
                  <c:pt idx="487">
                    <c:v>1</c:v>
                  </c:pt>
                  <c:pt idx="489">
                    <c:v>16000</c:v>
                  </c:pt>
                  <c:pt idx="490">
                    <c:v>12000</c:v>
                  </c:pt>
                  <c:pt idx="491">
                    <c:v>300</c:v>
                  </c:pt>
                  <c:pt idx="492">
                    <c:v>15</c:v>
                  </c:pt>
                  <c:pt idx="493">
                    <c:v>10000</c:v>
                  </c:pt>
                  <c:pt idx="494">
                    <c:v>2000</c:v>
                  </c:pt>
                  <c:pt idx="495">
                    <c:v>1</c:v>
                  </c:pt>
                  <c:pt idx="497">
                    <c:v>30000</c:v>
                  </c:pt>
                  <c:pt idx="498">
                    <c:v>10000</c:v>
                  </c:pt>
                  <c:pt idx="499">
                    <c:v>300</c:v>
                  </c:pt>
                  <c:pt idx="500">
                    <c:v>15</c:v>
                  </c:pt>
                  <c:pt idx="501">
                    <c:v>10000</c:v>
                  </c:pt>
                  <c:pt idx="502">
                    <c:v>4000</c:v>
                  </c:pt>
                  <c:pt idx="503">
                    <c:v>1</c:v>
                  </c:pt>
                  <c:pt idx="505">
                    <c:v>28000</c:v>
                  </c:pt>
                  <c:pt idx="506">
                    <c:v>4000</c:v>
                  </c:pt>
                  <c:pt idx="507">
                    <c:v>12000</c:v>
                  </c:pt>
                  <c:pt idx="508">
                    <c:v>300</c:v>
                  </c:pt>
                  <c:pt idx="509">
                    <c:v>15</c:v>
                  </c:pt>
                  <c:pt idx="510">
                    <c:v>20000</c:v>
                  </c:pt>
                  <c:pt idx="511">
                    <c:v>1</c:v>
                  </c:pt>
                  <c:pt idx="513">
                    <c:v>4000</c:v>
                  </c:pt>
                  <c:pt idx="514">
                    <c:v>2000</c:v>
                  </c:pt>
                  <c:pt idx="515">
                    <c:v>300</c:v>
                  </c:pt>
                  <c:pt idx="516">
                    <c:v>10</c:v>
                  </c:pt>
                  <c:pt idx="517">
                    <c:v>10</c:v>
                  </c:pt>
                  <c:pt idx="518">
                    <c:v>1</c:v>
                  </c:pt>
                  <c:pt idx="520">
                    <c:v>16000</c:v>
                  </c:pt>
                  <c:pt idx="521">
                    <c:v>2000</c:v>
                  </c:pt>
                  <c:pt idx="522">
                    <c:v>12000</c:v>
                  </c:pt>
                  <c:pt idx="523">
                    <c:v>300</c:v>
                  </c:pt>
                  <c:pt idx="524">
                    <c:v>12</c:v>
                  </c:pt>
                  <c:pt idx="525">
                    <c:v>10000</c:v>
                  </c:pt>
                  <c:pt idx="526">
                    <c:v>1</c:v>
                  </c:pt>
                  <c:pt idx="528">
                    <c:v>14000</c:v>
                  </c:pt>
                  <c:pt idx="529">
                    <c:v>2000</c:v>
                  </c:pt>
                  <c:pt idx="530">
                    <c:v>10000</c:v>
                  </c:pt>
                  <c:pt idx="531">
                    <c:v>340</c:v>
                  </c:pt>
                  <c:pt idx="532">
                    <c:v>12</c:v>
                  </c:pt>
                  <c:pt idx="533">
                    <c:v>10000</c:v>
                  </c:pt>
                  <c:pt idx="534">
                    <c:v>1</c:v>
                  </c:pt>
                  <c:pt idx="538">
                    <c:v>کمیت</c:v>
                  </c:pt>
                  <c:pt idx="539">
                    <c:v>4</c:v>
                  </c:pt>
                  <c:pt idx="540">
                    <c:v>10</c:v>
                  </c:pt>
                  <c:pt idx="541">
                    <c:v>1000</c:v>
                  </c:pt>
                  <c:pt idx="542">
                    <c:v>1</c:v>
                  </c:pt>
                  <c:pt idx="544">
                    <c:v>کمیت</c:v>
                  </c:pt>
                  <c:pt idx="545">
                    <c:v>1</c:v>
                  </c:pt>
                  <c:pt idx="546">
                    <c:v>15</c:v>
                  </c:pt>
                  <c:pt idx="548">
                    <c:v>کمیت</c:v>
                  </c:pt>
                  <c:pt idx="549">
                    <c:v>9</c:v>
                  </c:pt>
                  <c:pt idx="553">
                    <c:v>1</c:v>
                  </c:pt>
                  <c:pt idx="581">
                    <c:v>معیاد </c:v>
                  </c:pt>
                  <c:pt idx="582">
                    <c:v>تاریخ آغاز</c:v>
                  </c:pt>
                  <c:pt idx="583">
                    <c:v>1396/10/1</c:v>
                  </c:pt>
                  <c:pt idx="584">
                    <c:v>1396/10/1</c:v>
                  </c:pt>
                  <c:pt idx="585">
                    <c:v>1396/10/1</c:v>
                  </c:pt>
                  <c:pt idx="587">
                    <c:v>تاریخ آغاز</c:v>
                  </c:pt>
                  <c:pt idx="588">
                    <c:v>1396/10/1</c:v>
                  </c:pt>
                  <c:pt idx="589">
                    <c:v>1396/10/1</c:v>
                  </c:pt>
                  <c:pt idx="590">
                    <c:v>1396/10/1</c:v>
                  </c:pt>
                  <c:pt idx="592">
                    <c:v>تاریخ آغاز</c:v>
                  </c:pt>
                  <c:pt idx="593">
                    <c:v>1396/10/1</c:v>
                  </c:pt>
                  <c:pt idx="594">
                    <c:v>1396/10/1</c:v>
                  </c:pt>
                  <c:pt idx="595">
                    <c:v>1396/10/1</c:v>
                  </c:pt>
                  <c:pt idx="596">
                    <c:v>1396/10/1</c:v>
                  </c:pt>
                  <c:pt idx="598">
                    <c:v>تاریخ آغاز</c:v>
                  </c:pt>
                  <c:pt idx="599">
                    <c:v>1396/10/1</c:v>
                  </c:pt>
                  <c:pt idx="600">
                    <c:v>1396/10/1</c:v>
                  </c:pt>
                  <c:pt idx="601">
                    <c:v>1396/10/1</c:v>
                  </c:pt>
                  <c:pt idx="603">
                    <c:v>تاریخ آغاز</c:v>
                  </c:pt>
                  <c:pt idx="604">
                    <c:v>1396/10/1</c:v>
                  </c:pt>
                  <c:pt idx="605">
                    <c:v>1396/10/1</c:v>
                  </c:pt>
                  <c:pt idx="606">
                    <c:v>1396/10/1</c:v>
                  </c:pt>
                  <c:pt idx="608">
                    <c:v>تاریخ آغاز</c:v>
                  </c:pt>
                  <c:pt idx="609">
                    <c:v>1396/10/1</c:v>
                  </c:pt>
                  <c:pt idx="610">
                    <c:v>1396/10/1</c:v>
                  </c:pt>
                  <c:pt idx="612">
                    <c:v>تاریخ آغاز</c:v>
                  </c:pt>
                  <c:pt idx="613">
                    <c:v>1396/10/1</c:v>
                  </c:pt>
                  <c:pt idx="614">
                    <c:v>1396/10/1</c:v>
                  </c:pt>
                  <c:pt idx="616">
                    <c:v>تاریخ آغاز</c:v>
                  </c:pt>
                  <c:pt idx="617">
                    <c:v>1396/10/1</c:v>
                  </c:pt>
                  <c:pt idx="618">
                    <c:v>1396/10/1</c:v>
                  </c:pt>
                  <c:pt idx="620">
                    <c:v>تاریخ آغاز</c:v>
                  </c:pt>
                  <c:pt idx="621">
                    <c:v>1396/10/1</c:v>
                  </c:pt>
                  <c:pt idx="622">
                    <c:v>1396/10/1</c:v>
                  </c:pt>
                  <c:pt idx="623">
                    <c:v>1396/10/1</c:v>
                  </c:pt>
                  <c:pt idx="624">
                    <c:v>1396/10/1</c:v>
                  </c:pt>
                  <c:pt idx="626">
                    <c:v>تاریخ آغاز</c:v>
                  </c:pt>
                  <c:pt idx="627">
                    <c:v>1396/10/1</c:v>
                  </c:pt>
                  <c:pt idx="628">
                    <c:v>1396/10/1</c:v>
                  </c:pt>
                  <c:pt idx="629">
                    <c:v>1396/10/1</c:v>
                  </c:pt>
                  <c:pt idx="630">
                    <c:v>1396/10/1</c:v>
                  </c:pt>
                  <c:pt idx="631">
                    <c:v>1396/10/1</c:v>
                  </c:pt>
                  <c:pt idx="633">
                    <c:v>تاریخ آغاز</c:v>
                  </c:pt>
                  <c:pt idx="634">
                    <c:v>1396/10/1</c:v>
                  </c:pt>
                  <c:pt idx="635">
                    <c:v>1396/10/1</c:v>
                  </c:pt>
                  <c:pt idx="636">
                    <c:v>1396/10/1</c:v>
                  </c:pt>
                  <c:pt idx="638">
                    <c:v>تاریخ آغاز</c:v>
                  </c:pt>
                  <c:pt idx="639">
                    <c:v>1396/10/1</c:v>
                  </c:pt>
                  <c:pt idx="640">
                    <c:v>1396/10/1</c:v>
                  </c:pt>
                  <c:pt idx="641">
                    <c:v>1396/10/1</c:v>
                  </c:pt>
                  <c:pt idx="643">
                    <c:v>تاریخ آغاز</c:v>
                  </c:pt>
                  <c:pt idx="644">
                    <c:v>1396/10/1</c:v>
                  </c:pt>
                  <c:pt idx="645">
                    <c:v>1396/10/1</c:v>
                  </c:pt>
                  <c:pt idx="647">
                    <c:v> -   </c:v>
                  </c:pt>
                  <c:pt idx="649">
                    <c:v>معیاد پروژه </c:v>
                  </c:pt>
                  <c:pt idx="650">
                    <c:v>تاریخ آغاز</c:v>
                  </c:pt>
                  <c:pt idx="651">
                    <c:v>1جدی</c:v>
                  </c:pt>
                  <c:pt idx="652">
                    <c:v>30حوت</c:v>
                  </c:pt>
                  <c:pt idx="655">
                    <c:v>1 حوت </c:v>
                  </c:pt>
                  <c:pt idx="656">
                    <c:v>1 حوت</c:v>
                  </c:pt>
                  <c:pt idx="658">
                    <c:v>1میزان </c:v>
                  </c:pt>
                  <c:pt idx="659">
                    <c:v>1عقرب</c:v>
                  </c:pt>
                  <c:pt idx="660">
                    <c:v>1جوزا</c:v>
                  </c:pt>
                  <c:pt idx="661">
                    <c:v>1جوزا</c:v>
                  </c:pt>
                  <c:pt idx="662">
                    <c:v>1عقرب</c:v>
                  </c:pt>
                  <c:pt idx="663">
                    <c:v>12 جدی</c:v>
                  </c:pt>
                  <c:pt idx="665">
                    <c:v>تاریخ آغاز</c:v>
                  </c:pt>
                  <c:pt idx="667">
                    <c:v>1حمل</c:v>
                  </c:pt>
                  <c:pt idx="668">
                    <c:v>1جدی</c:v>
                  </c:pt>
                  <c:pt idx="669">
                    <c:v>12 جدی</c:v>
                  </c:pt>
                  <c:pt idx="670">
                    <c:v>15دلو</c:v>
                  </c:pt>
                  <c:pt idx="671">
                    <c:v>15دلو</c:v>
                  </c:pt>
                  <c:pt idx="672">
                    <c:v>1عقرب</c:v>
                  </c:pt>
                  <c:pt idx="673">
                    <c:v>1دلو</c:v>
                  </c:pt>
                  <c:pt idx="674">
                    <c:v>1عقرب</c:v>
                  </c:pt>
                  <c:pt idx="675">
                    <c:v>1عقرب</c:v>
                  </c:pt>
                  <c:pt idx="676">
                    <c:v>1عقرب</c:v>
                  </c:pt>
                  <c:pt idx="677">
                    <c:v>1عقرب</c:v>
                  </c:pt>
                  <c:pt idx="678">
                    <c:v>1حوت</c:v>
                  </c:pt>
                  <c:pt idx="679">
                    <c:v>1جدی</c:v>
                  </c:pt>
                  <c:pt idx="680">
                    <c:v>15حوت</c:v>
                  </c:pt>
                  <c:pt idx="681">
                    <c:v>15حوت</c:v>
                  </c:pt>
                  <c:pt idx="682">
                    <c:v>اول ثور</c:v>
                  </c:pt>
                  <c:pt idx="683">
                    <c:v>1ثور</c:v>
                  </c:pt>
                  <c:pt idx="685">
                    <c:v>1میزان </c:v>
                  </c:pt>
                  <c:pt idx="686">
                    <c:v>1عقرب</c:v>
                  </c:pt>
                  <c:pt idx="687">
                    <c:v>1جوزا</c:v>
                  </c:pt>
                  <c:pt idx="688">
                    <c:v>1جوزا</c:v>
                  </c:pt>
                  <c:pt idx="689">
                    <c:v>1عقرب</c:v>
                  </c:pt>
                  <c:pt idx="690">
                    <c:v>12 جدی</c:v>
                  </c:pt>
                  <c:pt idx="691">
                    <c:v>12 جدی</c:v>
                  </c:pt>
                  <c:pt idx="693">
                    <c:v>تاریخ آغاز</c:v>
                  </c:pt>
                  <c:pt idx="694">
                    <c:v>1جدی</c:v>
                  </c:pt>
                  <c:pt idx="695">
                    <c:v>30حوت</c:v>
                  </c:pt>
                  <c:pt idx="696">
                    <c:v>اجدی</c:v>
                  </c:pt>
                  <c:pt idx="697">
                    <c:v>اجدی</c:v>
                  </c:pt>
                  <c:pt idx="698">
                    <c:v>1 حوت </c:v>
                  </c:pt>
                  <c:pt idx="699">
                    <c:v>1 حوت</c:v>
                  </c:pt>
                  <c:pt idx="701">
                    <c:v>1میزان </c:v>
                  </c:pt>
                  <c:pt idx="702">
                    <c:v>1عقرب</c:v>
                  </c:pt>
                  <c:pt idx="703">
                    <c:v>1جوزا</c:v>
                  </c:pt>
                  <c:pt idx="704">
                    <c:v>1جوزا</c:v>
                  </c:pt>
                  <c:pt idx="705">
                    <c:v>1عقرب</c:v>
                  </c:pt>
                  <c:pt idx="706">
                    <c:v>12 جدی</c:v>
                  </c:pt>
                  <c:pt idx="708">
                    <c:v>تاریخ آغاز</c:v>
                  </c:pt>
                  <c:pt idx="709">
                    <c:v>1جدی</c:v>
                  </c:pt>
                  <c:pt idx="710">
                    <c:v>12 جدی</c:v>
                  </c:pt>
                  <c:pt idx="711">
                    <c:v>15دلو</c:v>
                  </c:pt>
                  <c:pt idx="712">
                    <c:v>15دلو</c:v>
                  </c:pt>
                  <c:pt idx="713">
                    <c:v>1عقرب</c:v>
                  </c:pt>
                  <c:pt idx="714">
                    <c:v>1دلو</c:v>
                  </c:pt>
                  <c:pt idx="715">
                    <c:v>1عقرب</c:v>
                  </c:pt>
                  <c:pt idx="716">
                    <c:v>1عقرب</c:v>
                  </c:pt>
                  <c:pt idx="717">
                    <c:v>1عقرب</c:v>
                  </c:pt>
                  <c:pt idx="718">
                    <c:v>1عقرب</c:v>
                  </c:pt>
                  <c:pt idx="719">
                    <c:v>1حوت</c:v>
                  </c:pt>
                  <c:pt idx="720">
                    <c:v>1جدی</c:v>
                  </c:pt>
                  <c:pt idx="721">
                    <c:v>15حوت</c:v>
                  </c:pt>
                  <c:pt idx="722">
                    <c:v>15حوت</c:v>
                  </c:pt>
                  <c:pt idx="723">
                    <c:v>اول ثور</c:v>
                  </c:pt>
                  <c:pt idx="724">
                    <c:v>1ثور</c:v>
                  </c:pt>
                  <c:pt idx="726">
                    <c:v>1میزان</c:v>
                  </c:pt>
                  <c:pt idx="727">
                    <c:v>1عقرب</c:v>
                  </c:pt>
                  <c:pt idx="728">
                    <c:v>1عقرب</c:v>
                  </c:pt>
                  <c:pt idx="729">
                    <c:v>1جوزا</c:v>
                  </c:pt>
                  <c:pt idx="730">
                    <c:v>1جوزا</c:v>
                  </c:pt>
                  <c:pt idx="731">
                    <c:v>1عقرب</c:v>
                  </c:pt>
                  <c:pt idx="732">
                    <c:v>1عقرب</c:v>
                  </c:pt>
                  <c:pt idx="733">
                    <c:v>12 جدی</c:v>
                  </c:pt>
                  <c:pt idx="734">
                    <c:v>12 جدی</c:v>
                  </c:pt>
                  <c:pt idx="736">
                    <c:v>تاریخ آغاز</c:v>
                  </c:pt>
                  <c:pt idx="737">
                    <c:v>1جدی</c:v>
                  </c:pt>
                  <c:pt idx="738">
                    <c:v>30حوت</c:v>
                  </c:pt>
                  <c:pt idx="739">
                    <c:v>اجدی</c:v>
                  </c:pt>
                  <c:pt idx="740">
                    <c:v>1جدی</c:v>
                  </c:pt>
                  <c:pt idx="741">
                    <c:v>1 حوت </c:v>
                  </c:pt>
                  <c:pt idx="742">
                    <c:v>1 حوت</c:v>
                  </c:pt>
                  <c:pt idx="744">
                    <c:v>1میزان</c:v>
                  </c:pt>
                  <c:pt idx="745">
                    <c:v>1عقرب</c:v>
                  </c:pt>
                  <c:pt idx="746">
                    <c:v>1جوزا</c:v>
                  </c:pt>
                  <c:pt idx="747">
                    <c:v>1جوزا</c:v>
                  </c:pt>
                  <c:pt idx="748">
                    <c:v>1عقرب</c:v>
                  </c:pt>
                  <c:pt idx="749">
                    <c:v>1جدی</c:v>
                  </c:pt>
                  <c:pt idx="751">
                    <c:v>تاریخ آغاز</c:v>
                  </c:pt>
                  <c:pt idx="752">
                    <c:v>1حمل</c:v>
                  </c:pt>
                  <c:pt idx="753">
                    <c:v>1حمل</c:v>
                  </c:pt>
                  <c:pt idx="754">
                    <c:v>1جدی</c:v>
                  </c:pt>
                  <c:pt idx="755">
                    <c:v>اول ثور</c:v>
                  </c:pt>
                  <c:pt idx="756">
                    <c:v>1ثور</c:v>
                  </c:pt>
                  <c:pt idx="757">
                    <c:v>1جدی</c:v>
                  </c:pt>
                  <c:pt idx="759">
                    <c:v>تاریخ آغاز</c:v>
                  </c:pt>
                  <c:pt idx="760">
                    <c:v>1حمل</c:v>
                  </c:pt>
                  <c:pt idx="761">
                    <c:v>1جدی</c:v>
                  </c:pt>
                  <c:pt idx="762">
                    <c:v>1ثور</c:v>
                  </c:pt>
                  <c:pt idx="763">
                    <c:v>اول ثور</c:v>
                  </c:pt>
                  <c:pt idx="764">
                    <c:v>1جدی</c:v>
                  </c:pt>
                  <c:pt idx="766">
                    <c:v>تاریخ آغاز</c:v>
                  </c:pt>
                  <c:pt idx="767">
                    <c:v>1حمل</c:v>
                  </c:pt>
                  <c:pt idx="768">
                    <c:v>1جدی</c:v>
                  </c:pt>
                  <c:pt idx="769">
                    <c:v>1حمل</c:v>
                  </c:pt>
                  <c:pt idx="770">
                    <c:v>12 جدی</c:v>
                  </c:pt>
                  <c:pt idx="771">
                    <c:v>12 جدی</c:v>
                  </c:pt>
                  <c:pt idx="772">
                    <c:v>15دلو</c:v>
                  </c:pt>
                  <c:pt idx="773">
                    <c:v>15دلو</c:v>
                  </c:pt>
                  <c:pt idx="774">
                    <c:v>1عقرب</c:v>
                  </c:pt>
                  <c:pt idx="775">
                    <c:v>1دلو</c:v>
                  </c:pt>
                  <c:pt idx="776">
                    <c:v>1عقرب</c:v>
                  </c:pt>
                  <c:pt idx="777">
                    <c:v>1عقرب</c:v>
                  </c:pt>
                  <c:pt idx="778">
                    <c:v>1عقرب</c:v>
                  </c:pt>
                  <c:pt idx="779">
                    <c:v>1عقرب</c:v>
                  </c:pt>
                  <c:pt idx="780">
                    <c:v>1حوت</c:v>
                  </c:pt>
                  <c:pt idx="781">
                    <c:v>1جدی</c:v>
                  </c:pt>
                  <c:pt idx="782">
                    <c:v>15حوت</c:v>
                  </c:pt>
                  <c:pt idx="783">
                    <c:v>15حوت</c:v>
                  </c:pt>
                  <c:pt idx="784">
                    <c:v>اول ثور</c:v>
                  </c:pt>
                  <c:pt idx="785">
                    <c:v>1ثور</c:v>
                  </c:pt>
                  <c:pt idx="786">
                    <c:v>1جدی</c:v>
                  </c:pt>
                  <c:pt idx="787">
                    <c:v>1میزان</c:v>
                  </c:pt>
                  <c:pt idx="788">
                    <c:v>1عقرب</c:v>
                  </c:pt>
                  <c:pt idx="789">
                    <c:v>1جوزا</c:v>
                  </c:pt>
                  <c:pt idx="790">
                    <c:v>1جوزا</c:v>
                  </c:pt>
                  <c:pt idx="791">
                    <c:v>1عقرب</c:v>
                  </c:pt>
                  <c:pt idx="792">
                    <c:v>1جدی</c:v>
                  </c:pt>
                  <c:pt idx="793">
                    <c:v>1جدی</c:v>
                  </c:pt>
                  <c:pt idx="795">
                    <c:v>تاریخ آغاز</c:v>
                  </c:pt>
                  <c:pt idx="796">
                    <c:v>1جدی</c:v>
                  </c:pt>
                  <c:pt idx="797">
                    <c:v>اجدی</c:v>
                  </c:pt>
                  <c:pt idx="798">
                    <c:v>12 جدی</c:v>
                  </c:pt>
                  <c:pt idx="799">
                    <c:v>15دلو</c:v>
                  </c:pt>
                  <c:pt idx="800">
                    <c:v>15دلو</c:v>
                  </c:pt>
                  <c:pt idx="801">
                    <c:v>1عقرب</c:v>
                  </c:pt>
                  <c:pt idx="802">
                    <c:v>1دلو</c:v>
                  </c:pt>
                  <c:pt idx="803">
                    <c:v>1عقرب</c:v>
                  </c:pt>
                  <c:pt idx="804">
                    <c:v>1عقرب</c:v>
                  </c:pt>
                  <c:pt idx="805">
                    <c:v>1عقرب</c:v>
                  </c:pt>
                  <c:pt idx="806">
                    <c:v>1عقرب</c:v>
                  </c:pt>
                  <c:pt idx="807">
                    <c:v>1حوت</c:v>
                  </c:pt>
                  <c:pt idx="808">
                    <c:v>1جدی</c:v>
                  </c:pt>
                  <c:pt idx="809">
                    <c:v>15حوت</c:v>
                  </c:pt>
                  <c:pt idx="810">
                    <c:v>15حوت</c:v>
                  </c:pt>
                  <c:pt idx="811">
                    <c:v>اول ثور</c:v>
                  </c:pt>
                  <c:pt idx="812">
                    <c:v>1ثور</c:v>
                  </c:pt>
                  <c:pt idx="813">
                    <c:v>12 جدی</c:v>
                  </c:pt>
                  <c:pt idx="814">
                    <c:v>12 جدی</c:v>
                  </c:pt>
                  <c:pt idx="816">
                    <c:v>تاریخ آغاز</c:v>
                  </c:pt>
                  <c:pt idx="817">
                    <c:v>1جدی</c:v>
                  </c:pt>
                  <c:pt idx="818">
                    <c:v>30حوت</c:v>
                  </c:pt>
                  <c:pt idx="819">
                    <c:v>اجدی</c:v>
                  </c:pt>
                  <c:pt idx="820">
                    <c:v>1 حوت </c:v>
                  </c:pt>
                  <c:pt idx="821">
                    <c:v>1 حوت</c:v>
                  </c:pt>
                  <c:pt idx="822">
                    <c:v>12 جدی</c:v>
                  </c:pt>
                  <c:pt idx="824">
                    <c:v>تاریخ آغاز</c:v>
                  </c:pt>
                  <c:pt idx="825">
                    <c:v>1جدی</c:v>
                  </c:pt>
                  <c:pt idx="826">
                    <c:v>30حوت</c:v>
                  </c:pt>
                  <c:pt idx="827">
                    <c:v>اجدی</c:v>
                  </c:pt>
                  <c:pt idx="828">
                    <c:v>1 حوت </c:v>
                  </c:pt>
                  <c:pt idx="829">
                    <c:v>1 حوت</c:v>
                  </c:pt>
                  <c:pt idx="830">
                    <c:v>12 جدی</c:v>
                  </c:pt>
                  <c:pt idx="832">
                    <c:v>تاریخ آغاز</c:v>
                  </c:pt>
                  <c:pt idx="833">
                    <c:v>1جدی</c:v>
                  </c:pt>
                  <c:pt idx="834">
                    <c:v>30حوت</c:v>
                  </c:pt>
                  <c:pt idx="835">
                    <c:v>اجدی</c:v>
                  </c:pt>
                  <c:pt idx="836">
                    <c:v>1 حوت </c:v>
                  </c:pt>
                  <c:pt idx="837">
                    <c:v>1 حوت</c:v>
                  </c:pt>
                  <c:pt idx="838">
                    <c:v>12 جدی</c:v>
                  </c:pt>
                  <c:pt idx="840">
                    <c:v>تاریخ آغاز</c:v>
                  </c:pt>
                  <c:pt idx="841">
                    <c:v>1جدی</c:v>
                  </c:pt>
                  <c:pt idx="842">
                    <c:v>30حوت</c:v>
                  </c:pt>
                  <c:pt idx="843">
                    <c:v>اجدی</c:v>
                  </c:pt>
                  <c:pt idx="844">
                    <c:v>1 حوت </c:v>
                  </c:pt>
                  <c:pt idx="845">
                    <c:v>1 حوت</c:v>
                  </c:pt>
                  <c:pt idx="846">
                    <c:v>12 جدی</c:v>
                  </c:pt>
                  <c:pt idx="848">
                    <c:v>تاریخ آغاز</c:v>
                  </c:pt>
                  <c:pt idx="849">
                    <c:v>1جدی</c:v>
                  </c:pt>
                  <c:pt idx="850">
                    <c:v>30حوت</c:v>
                  </c:pt>
                  <c:pt idx="851">
                    <c:v>اجدی</c:v>
                  </c:pt>
                  <c:pt idx="852">
                    <c:v>1 حوت </c:v>
                  </c:pt>
                  <c:pt idx="853">
                    <c:v>1 حوت</c:v>
                  </c:pt>
                  <c:pt idx="855">
                    <c:v>1میزان</c:v>
                  </c:pt>
                  <c:pt idx="856">
                    <c:v>1عقرب</c:v>
                  </c:pt>
                  <c:pt idx="857">
                    <c:v>1جوزا</c:v>
                  </c:pt>
                  <c:pt idx="858">
                    <c:v>1جوزا</c:v>
                  </c:pt>
                  <c:pt idx="859">
                    <c:v>1عقرب</c:v>
                  </c:pt>
                  <c:pt idx="860">
                    <c:v>12 جدی</c:v>
                  </c:pt>
                  <c:pt idx="862">
                    <c:v>تاریخ آغاز</c:v>
                  </c:pt>
                  <c:pt idx="863">
                    <c:v>1جدی</c:v>
                  </c:pt>
                  <c:pt idx="864">
                    <c:v>30حوت</c:v>
                  </c:pt>
                  <c:pt idx="865">
                    <c:v>اجدی</c:v>
                  </c:pt>
                  <c:pt idx="866">
                    <c:v>1 حوت </c:v>
                  </c:pt>
                  <c:pt idx="867">
                    <c:v>1 حوت</c:v>
                  </c:pt>
                  <c:pt idx="869">
                    <c:v>1میزان</c:v>
                  </c:pt>
                  <c:pt idx="870">
                    <c:v>1عقرب</c:v>
                  </c:pt>
                  <c:pt idx="871">
                    <c:v>1جوزا</c:v>
                  </c:pt>
                  <c:pt idx="872">
                    <c:v>1جوزا</c:v>
                  </c:pt>
                  <c:pt idx="873">
                    <c:v>1عقرب</c:v>
                  </c:pt>
                  <c:pt idx="874">
                    <c:v>12 جدی</c:v>
                  </c:pt>
                  <c:pt idx="878">
                    <c:v> -   </c:v>
                  </c:pt>
                  <c:pt idx="879">
                    <c:v> -   </c:v>
                  </c:pt>
                  <c:pt idx="881">
                    <c:v>تاریخ آغاز</c:v>
                  </c:pt>
                  <c:pt idx="882">
                    <c:v>1جدی</c:v>
                  </c:pt>
                  <c:pt idx="883">
                    <c:v>1جدی</c:v>
                  </c:pt>
                  <c:pt idx="884">
                    <c:v>1جدی</c:v>
                  </c:pt>
                  <c:pt idx="885">
                    <c:v>1جدی</c:v>
                  </c:pt>
                  <c:pt idx="886">
                    <c:v>1جدی</c:v>
                  </c:pt>
                  <c:pt idx="887">
                    <c:v>1جدی</c:v>
                  </c:pt>
                  <c:pt idx="888">
                    <c:v>1جدی</c:v>
                  </c:pt>
                  <c:pt idx="890">
                    <c:v>1جدی</c:v>
                  </c:pt>
                  <c:pt idx="891">
                    <c:v>1جدی</c:v>
                  </c:pt>
                  <c:pt idx="892">
                    <c:v>1جدی</c:v>
                  </c:pt>
                  <c:pt idx="893">
                    <c:v>1جدی</c:v>
                  </c:pt>
                  <c:pt idx="894">
                    <c:v>1جدی</c:v>
                  </c:pt>
                  <c:pt idx="895">
                    <c:v>1جدی</c:v>
                  </c:pt>
                  <c:pt idx="896">
                    <c:v>1جدی</c:v>
                  </c:pt>
                  <c:pt idx="898">
                    <c:v>1جدی</c:v>
                  </c:pt>
                  <c:pt idx="899">
                    <c:v>1جدی</c:v>
                  </c:pt>
                  <c:pt idx="900">
                    <c:v>1جدی</c:v>
                  </c:pt>
                  <c:pt idx="901">
                    <c:v>1جدی</c:v>
                  </c:pt>
                  <c:pt idx="902">
                    <c:v>1جدی</c:v>
                  </c:pt>
                  <c:pt idx="903">
                    <c:v>1جدی</c:v>
                  </c:pt>
                  <c:pt idx="904">
                    <c:v>1جدی</c:v>
                  </c:pt>
                  <c:pt idx="906">
                    <c:v>1جدی</c:v>
                  </c:pt>
                  <c:pt idx="907">
                    <c:v>1جدی</c:v>
                  </c:pt>
                  <c:pt idx="908">
                    <c:v>1جدی</c:v>
                  </c:pt>
                  <c:pt idx="909">
                    <c:v>1جدی</c:v>
                  </c:pt>
                  <c:pt idx="910">
                    <c:v>1جدی</c:v>
                  </c:pt>
                  <c:pt idx="911">
                    <c:v>1جدی</c:v>
                  </c:pt>
                  <c:pt idx="913">
                    <c:v>1جدی</c:v>
                  </c:pt>
                  <c:pt idx="914">
                    <c:v>1جدی</c:v>
                  </c:pt>
                  <c:pt idx="915">
                    <c:v>1جدی</c:v>
                  </c:pt>
                  <c:pt idx="916">
                    <c:v>1جدی</c:v>
                  </c:pt>
                  <c:pt idx="917">
                    <c:v>1جدی</c:v>
                  </c:pt>
                  <c:pt idx="918">
                    <c:v>1جدی</c:v>
                  </c:pt>
                  <c:pt idx="919">
                    <c:v>1جدی</c:v>
                  </c:pt>
                  <c:pt idx="921">
                    <c:v>1جدی</c:v>
                  </c:pt>
                  <c:pt idx="922">
                    <c:v>1جدی</c:v>
                  </c:pt>
                  <c:pt idx="923">
                    <c:v>1جدی</c:v>
                  </c:pt>
                  <c:pt idx="924">
                    <c:v>1جدی</c:v>
                  </c:pt>
                  <c:pt idx="925">
                    <c:v>1جدی</c:v>
                  </c:pt>
                  <c:pt idx="927">
                    <c:v>1جدی</c:v>
                  </c:pt>
                  <c:pt idx="928">
                    <c:v>1جدی</c:v>
                  </c:pt>
                  <c:pt idx="929">
                    <c:v>1جدی</c:v>
                  </c:pt>
                  <c:pt idx="930">
                    <c:v>1جدی</c:v>
                  </c:pt>
                  <c:pt idx="931">
                    <c:v>1جدی</c:v>
                  </c:pt>
                  <c:pt idx="932">
                    <c:v>1جدی</c:v>
                  </c:pt>
                  <c:pt idx="933">
                    <c:v>1جدی</c:v>
                  </c:pt>
                  <c:pt idx="934">
                    <c:v>1جدی</c:v>
                  </c:pt>
                  <c:pt idx="936">
                    <c:v>1جدی</c:v>
                  </c:pt>
                  <c:pt idx="937">
                    <c:v>1جدی</c:v>
                  </c:pt>
                  <c:pt idx="938">
                    <c:v>1جدی</c:v>
                  </c:pt>
                  <c:pt idx="939">
                    <c:v>1جدی</c:v>
                  </c:pt>
                  <c:pt idx="940">
                    <c:v>1جدی</c:v>
                  </c:pt>
                  <c:pt idx="941">
                    <c:v>1جدی</c:v>
                  </c:pt>
                  <c:pt idx="942">
                    <c:v>1جدی</c:v>
                  </c:pt>
                  <c:pt idx="944">
                    <c:v>1جدی</c:v>
                  </c:pt>
                  <c:pt idx="945">
                    <c:v>1جدی</c:v>
                  </c:pt>
                  <c:pt idx="946">
                    <c:v>1جدی</c:v>
                  </c:pt>
                  <c:pt idx="947">
                    <c:v>1جدی</c:v>
                  </c:pt>
                  <c:pt idx="948">
                    <c:v>1جدی</c:v>
                  </c:pt>
                  <c:pt idx="949">
                    <c:v>1جدی</c:v>
                  </c:pt>
                  <c:pt idx="950">
                    <c:v>1جدی</c:v>
                  </c:pt>
                  <c:pt idx="952">
                    <c:v>1جدی</c:v>
                  </c:pt>
                  <c:pt idx="953">
                    <c:v>1جدی</c:v>
                  </c:pt>
                  <c:pt idx="954">
                    <c:v>1جدی</c:v>
                  </c:pt>
                  <c:pt idx="955">
                    <c:v>1جدی</c:v>
                  </c:pt>
                  <c:pt idx="956">
                    <c:v>1جدی</c:v>
                  </c:pt>
                  <c:pt idx="957">
                    <c:v>1جدی</c:v>
                  </c:pt>
                  <c:pt idx="958">
                    <c:v>1جدی</c:v>
                  </c:pt>
                  <c:pt idx="959">
                    <c:v>1جدی</c:v>
                  </c:pt>
                  <c:pt idx="961">
                    <c:v>1جدی</c:v>
                  </c:pt>
                  <c:pt idx="962">
                    <c:v>1جدی</c:v>
                  </c:pt>
                  <c:pt idx="963">
                    <c:v>1جدی</c:v>
                  </c:pt>
                  <c:pt idx="964">
                    <c:v>1جدی</c:v>
                  </c:pt>
                  <c:pt idx="965">
                    <c:v>1جدی</c:v>
                  </c:pt>
                  <c:pt idx="966">
                    <c:v>1جدی</c:v>
                  </c:pt>
                  <c:pt idx="967">
                    <c:v>1جدی</c:v>
                  </c:pt>
                  <c:pt idx="969">
                    <c:v>1جدی</c:v>
                  </c:pt>
                  <c:pt idx="970">
                    <c:v>1جدی</c:v>
                  </c:pt>
                  <c:pt idx="971">
                    <c:v>1جدی</c:v>
                  </c:pt>
                  <c:pt idx="972">
                    <c:v>1جدی</c:v>
                  </c:pt>
                  <c:pt idx="973">
                    <c:v>1جدی</c:v>
                  </c:pt>
                  <c:pt idx="974">
                    <c:v>1جدی</c:v>
                  </c:pt>
                  <c:pt idx="975">
                    <c:v>1جدی</c:v>
                  </c:pt>
                  <c:pt idx="977">
                    <c:v>1جدی</c:v>
                  </c:pt>
                  <c:pt idx="978">
                    <c:v>1جدی</c:v>
                  </c:pt>
                  <c:pt idx="979">
                    <c:v>1جدی</c:v>
                  </c:pt>
                  <c:pt idx="980">
                    <c:v>1جدی</c:v>
                  </c:pt>
                  <c:pt idx="981">
                    <c:v>1جدی</c:v>
                  </c:pt>
                  <c:pt idx="982">
                    <c:v>1جدی</c:v>
                  </c:pt>
                  <c:pt idx="983">
                    <c:v>1جدی</c:v>
                  </c:pt>
                  <c:pt idx="984">
                    <c:v>1جدی</c:v>
                  </c:pt>
                  <c:pt idx="985">
                    <c:v>1جدی</c:v>
                  </c:pt>
                  <c:pt idx="987">
                    <c:v>1جدی</c:v>
                  </c:pt>
                  <c:pt idx="988">
                    <c:v>1جدی</c:v>
                  </c:pt>
                  <c:pt idx="989">
                    <c:v>1جدی</c:v>
                  </c:pt>
                  <c:pt idx="990">
                    <c:v>1جدی</c:v>
                  </c:pt>
                  <c:pt idx="991">
                    <c:v>1جدی</c:v>
                  </c:pt>
                  <c:pt idx="992">
                    <c:v>1جدی</c:v>
                  </c:pt>
                  <c:pt idx="993">
                    <c:v>1جدی</c:v>
                  </c:pt>
                  <c:pt idx="995">
                    <c:v>1جدی</c:v>
                  </c:pt>
                  <c:pt idx="996">
                    <c:v>1جدی</c:v>
                  </c:pt>
                  <c:pt idx="997">
                    <c:v>1جدی</c:v>
                  </c:pt>
                  <c:pt idx="998">
                    <c:v>1جدی</c:v>
                  </c:pt>
                  <c:pt idx="999">
                    <c:v>1جدی</c:v>
                  </c:pt>
                  <c:pt idx="1000">
                    <c:v>1جدی</c:v>
                  </c:pt>
                  <c:pt idx="1002">
                    <c:v>1جدی</c:v>
                  </c:pt>
                  <c:pt idx="1003">
                    <c:v>1جدی</c:v>
                  </c:pt>
                  <c:pt idx="1004">
                    <c:v>1جدی</c:v>
                  </c:pt>
                  <c:pt idx="1005">
                    <c:v>1جدی</c:v>
                  </c:pt>
                  <c:pt idx="1006">
                    <c:v>1جدی</c:v>
                  </c:pt>
                  <c:pt idx="1007">
                    <c:v>1جدی</c:v>
                  </c:pt>
                  <c:pt idx="1008">
                    <c:v>1جدی</c:v>
                  </c:pt>
                  <c:pt idx="1009">
                    <c:v>1جدی</c:v>
                  </c:pt>
                  <c:pt idx="1010">
                    <c:v>1جدی</c:v>
                  </c:pt>
                  <c:pt idx="1011">
                    <c:v>1جدی</c:v>
                  </c:pt>
                  <c:pt idx="1012">
                    <c:v>1جدی</c:v>
                  </c:pt>
                  <c:pt idx="1013">
                    <c:v>1جدی</c:v>
                  </c:pt>
                  <c:pt idx="1014">
                    <c:v>1جدی</c:v>
                  </c:pt>
                  <c:pt idx="1015">
                    <c:v>1جدی</c:v>
                  </c:pt>
                  <c:pt idx="1016">
                    <c:v>1جدی</c:v>
                  </c:pt>
                  <c:pt idx="1018">
                    <c:v>1جدی</c:v>
                  </c:pt>
                  <c:pt idx="1019">
                    <c:v>1جدی</c:v>
                  </c:pt>
                  <c:pt idx="1020">
                    <c:v>1جدی</c:v>
                  </c:pt>
                  <c:pt idx="1021">
                    <c:v>1جدی</c:v>
                  </c:pt>
                  <c:pt idx="1022">
                    <c:v>1جدی</c:v>
                  </c:pt>
                  <c:pt idx="1023">
                    <c:v>1جدی</c:v>
                  </c:pt>
                  <c:pt idx="1024">
                    <c:v>1جدی</c:v>
                  </c:pt>
                  <c:pt idx="1026">
                    <c:v>1جدی</c:v>
                  </c:pt>
                  <c:pt idx="1027">
                    <c:v>1جدی</c:v>
                  </c:pt>
                  <c:pt idx="1028">
                    <c:v>1جدی</c:v>
                  </c:pt>
                  <c:pt idx="1029">
                    <c:v>1جدی</c:v>
                  </c:pt>
                  <c:pt idx="1030">
                    <c:v>1جدی</c:v>
                  </c:pt>
                  <c:pt idx="1031">
                    <c:v>1جدی</c:v>
                  </c:pt>
                  <c:pt idx="1032">
                    <c:v>1جدی</c:v>
                  </c:pt>
                  <c:pt idx="1033">
                    <c:v>1جدی</c:v>
                  </c:pt>
                  <c:pt idx="1035">
                    <c:v>1جدی</c:v>
                  </c:pt>
                  <c:pt idx="1036">
                    <c:v>1جدی</c:v>
                  </c:pt>
                  <c:pt idx="1037">
                    <c:v>1جدی</c:v>
                  </c:pt>
                  <c:pt idx="1038">
                    <c:v>1جدی</c:v>
                  </c:pt>
                  <c:pt idx="1039">
                    <c:v>1جدی</c:v>
                  </c:pt>
                  <c:pt idx="1040">
                    <c:v>1جدی</c:v>
                  </c:pt>
                  <c:pt idx="1041">
                    <c:v>1جدی</c:v>
                  </c:pt>
                  <c:pt idx="1043">
                    <c:v>1جدی</c:v>
                  </c:pt>
                  <c:pt idx="1044">
                    <c:v>1جدی</c:v>
                  </c:pt>
                  <c:pt idx="1045">
                    <c:v>1جدی</c:v>
                  </c:pt>
                  <c:pt idx="1046">
                    <c:v>1جدی</c:v>
                  </c:pt>
                  <c:pt idx="1047">
                    <c:v>1جدی</c:v>
                  </c:pt>
                  <c:pt idx="1048">
                    <c:v>1جدی</c:v>
                  </c:pt>
                  <c:pt idx="1049">
                    <c:v>1جدی</c:v>
                  </c:pt>
                  <c:pt idx="1050">
                    <c:v>1جدی</c:v>
                  </c:pt>
                  <c:pt idx="1052">
                    <c:v>1جدی</c:v>
                  </c:pt>
                  <c:pt idx="1053">
                    <c:v>1جدی</c:v>
                  </c:pt>
                  <c:pt idx="1054">
                    <c:v>1جدی</c:v>
                  </c:pt>
                  <c:pt idx="1055">
                    <c:v>1جدی</c:v>
                  </c:pt>
                  <c:pt idx="1056">
                    <c:v>1جدی</c:v>
                  </c:pt>
                  <c:pt idx="1057">
                    <c:v>1جدی</c:v>
                  </c:pt>
                  <c:pt idx="1058">
                    <c:v>1جدی</c:v>
                  </c:pt>
                  <c:pt idx="1060">
                    <c:v>1جدی</c:v>
                  </c:pt>
                  <c:pt idx="1061">
                    <c:v>1جدی</c:v>
                  </c:pt>
                  <c:pt idx="1062">
                    <c:v>1جدی</c:v>
                  </c:pt>
                  <c:pt idx="1063">
                    <c:v>1جدی</c:v>
                  </c:pt>
                  <c:pt idx="1064">
                    <c:v>1جدی</c:v>
                  </c:pt>
                  <c:pt idx="1065">
                    <c:v>1جدی</c:v>
                  </c:pt>
                  <c:pt idx="1066">
                    <c:v>1جدی</c:v>
                  </c:pt>
                  <c:pt idx="1068">
                    <c:v>1جدی</c:v>
                  </c:pt>
                  <c:pt idx="1069">
                    <c:v>1جدی</c:v>
                  </c:pt>
                  <c:pt idx="1070">
                    <c:v>1جدی</c:v>
                  </c:pt>
                  <c:pt idx="1071">
                    <c:v>1جدی</c:v>
                  </c:pt>
                  <c:pt idx="1072">
                    <c:v>1جدی</c:v>
                  </c:pt>
                  <c:pt idx="1073">
                    <c:v>1جدی</c:v>
                  </c:pt>
                  <c:pt idx="1074">
                    <c:v>1جدی</c:v>
                  </c:pt>
                  <c:pt idx="1076">
                    <c:v>1جدی</c:v>
                  </c:pt>
                  <c:pt idx="1077">
                    <c:v>1جدی</c:v>
                  </c:pt>
                  <c:pt idx="1078">
                    <c:v>1جدی</c:v>
                  </c:pt>
                  <c:pt idx="1079">
                    <c:v>1جدی</c:v>
                  </c:pt>
                  <c:pt idx="1080">
                    <c:v>1جدی</c:v>
                  </c:pt>
                  <c:pt idx="1081">
                    <c:v>1جدی</c:v>
                  </c:pt>
                  <c:pt idx="1082">
                    <c:v>1جدی</c:v>
                  </c:pt>
                  <c:pt idx="1084">
                    <c:v>1جدی</c:v>
                  </c:pt>
                  <c:pt idx="1085">
                    <c:v>1جدی</c:v>
                  </c:pt>
                  <c:pt idx="1086">
                    <c:v>1جدی</c:v>
                  </c:pt>
                  <c:pt idx="1087">
                    <c:v>1جدی</c:v>
                  </c:pt>
                  <c:pt idx="1088">
                    <c:v>1جدی</c:v>
                  </c:pt>
                  <c:pt idx="1089">
                    <c:v>1جدی</c:v>
                  </c:pt>
                  <c:pt idx="1090">
                    <c:v>1جدی</c:v>
                  </c:pt>
                  <c:pt idx="1092">
                    <c:v>1جدی</c:v>
                  </c:pt>
                  <c:pt idx="1093">
                    <c:v>1جدی</c:v>
                  </c:pt>
                  <c:pt idx="1094">
                    <c:v>1جدی</c:v>
                  </c:pt>
                  <c:pt idx="1095">
                    <c:v>1جدی</c:v>
                  </c:pt>
                  <c:pt idx="1096">
                    <c:v>1جدی</c:v>
                  </c:pt>
                  <c:pt idx="1097">
                    <c:v>1جدی</c:v>
                  </c:pt>
                  <c:pt idx="1099">
                    <c:v>1جدی</c:v>
                  </c:pt>
                  <c:pt idx="1100">
                    <c:v>1جدی</c:v>
                  </c:pt>
                  <c:pt idx="1101">
                    <c:v>1جدی</c:v>
                  </c:pt>
                  <c:pt idx="1102">
                    <c:v>1جدی</c:v>
                  </c:pt>
                  <c:pt idx="1103">
                    <c:v>1جدی</c:v>
                  </c:pt>
                  <c:pt idx="1104">
                    <c:v>1جدی</c:v>
                  </c:pt>
                  <c:pt idx="1105">
                    <c:v>1جدی</c:v>
                  </c:pt>
                  <c:pt idx="1107">
                    <c:v>1جدی</c:v>
                  </c:pt>
                  <c:pt idx="1108">
                    <c:v>1جدی</c:v>
                  </c:pt>
                  <c:pt idx="1109">
                    <c:v>1جدی</c:v>
                  </c:pt>
                  <c:pt idx="1110">
                    <c:v>1جدی</c:v>
                  </c:pt>
                  <c:pt idx="1111">
                    <c:v>1جدی</c:v>
                  </c:pt>
                  <c:pt idx="1112">
                    <c:v>1جدی</c:v>
                  </c:pt>
                  <c:pt idx="1113">
                    <c:v>1جدی</c:v>
                  </c:pt>
                  <c:pt idx="1115">
                    <c:v> -   </c:v>
                  </c:pt>
                  <c:pt idx="1117">
                    <c:v>تاریخ آغاز</c:v>
                  </c:pt>
                  <c:pt idx="1118">
                    <c:v>12/1395</c:v>
                  </c:pt>
                  <c:pt idx="1119">
                    <c:v>12/1395</c:v>
                  </c:pt>
                  <c:pt idx="1120">
                    <c:v>10/1395</c:v>
                  </c:pt>
                  <c:pt idx="1123">
                    <c:v>تاریخ آغاز</c:v>
                  </c:pt>
                  <c:pt idx="1124">
                    <c:v>01/1397</c:v>
                  </c:pt>
                  <c:pt idx="1125">
                    <c:v>01/1397</c:v>
                  </c:pt>
                  <c:pt idx="1127">
                    <c:v>تاریخ آغاز</c:v>
                  </c:pt>
                  <c:pt idx="1128">
                    <c:v>12/1395</c:v>
                  </c:pt>
                  <c:pt idx="1130">
                    <c:v> -   </c:v>
                  </c:pt>
                  <c:pt idx="1132">
                    <c:v>12/1395</c:v>
                  </c:pt>
                  <c:pt idx="1133">
                    <c:v>12/1395</c:v>
                  </c:pt>
                  <c:pt idx="1136">
                    <c:v>تاریخ ختم</c:v>
                  </c:pt>
                  <c:pt idx="1137">
                    <c:v>30/9/1397</c:v>
                  </c:pt>
                  <c:pt idx="1138">
                    <c:v>30/9/1397</c:v>
                  </c:pt>
                  <c:pt idx="1139">
                    <c:v>30/9/1397</c:v>
                  </c:pt>
                  <c:pt idx="1140">
                    <c:v>30/9/1397</c:v>
                  </c:pt>
                  <c:pt idx="1141">
                    <c:v>30/9/1397</c:v>
                  </c:pt>
                  <c:pt idx="1142">
                    <c:v>30/9/1397</c:v>
                  </c:pt>
                </c:lvl>
                <c:lvl>
                  <c:pt idx="2">
                    <c:v>واحد</c:v>
                  </c:pt>
                  <c:pt idx="4">
                    <c:v>پروژه عایداتی</c:v>
                  </c:pt>
                  <c:pt idx="5">
                    <c:v>کیلو گرام </c:v>
                  </c:pt>
                  <c:pt idx="6">
                    <c:v>کرایه </c:v>
                  </c:pt>
                  <c:pt idx="8">
                    <c:v>واحد</c:v>
                  </c:pt>
                  <c:pt idx="9">
                    <c:v>پروژه عایداتی</c:v>
                  </c:pt>
                  <c:pt idx="10">
                    <c:v>کیلو گرام</c:v>
                  </c:pt>
                  <c:pt idx="11">
                    <c:v>کرایه </c:v>
                  </c:pt>
                  <c:pt idx="13">
                    <c:v>واحد</c:v>
                  </c:pt>
                  <c:pt idx="14">
                    <c:v>پروژه عایداتی</c:v>
                  </c:pt>
                  <c:pt idx="15">
                    <c:v>کیلوگرام</c:v>
                  </c:pt>
                  <c:pt idx="16">
                    <c:v>متر مکعب </c:v>
                  </c:pt>
                  <c:pt idx="19">
                    <c:v>واحد</c:v>
                  </c:pt>
                  <c:pt idx="20">
                    <c:v>پروژه عایداتی</c:v>
                  </c:pt>
                  <c:pt idx="21">
                    <c:v>کیلو گرام </c:v>
                  </c:pt>
                  <c:pt idx="22">
                    <c:v>اصله</c:v>
                  </c:pt>
                  <c:pt idx="24">
                    <c:v>واحد</c:v>
                  </c:pt>
                  <c:pt idx="25">
                    <c:v>پروژه عایداتی</c:v>
                  </c:pt>
                  <c:pt idx="26">
                    <c:v>کیلو گرام </c:v>
                  </c:pt>
                  <c:pt idx="27">
                    <c:v>0</c:v>
                  </c:pt>
                  <c:pt idx="29">
                    <c:v>واحد</c:v>
                  </c:pt>
                  <c:pt idx="30">
                    <c:v>نفر </c:v>
                  </c:pt>
                  <c:pt idx="33">
                    <c:v>واحد</c:v>
                  </c:pt>
                  <c:pt idx="34">
                    <c:v>نفر</c:v>
                  </c:pt>
                  <c:pt idx="37">
                    <c:v>واحد</c:v>
                  </c:pt>
                  <c:pt idx="38">
                    <c:v>نفر</c:v>
                  </c:pt>
                  <c:pt idx="41">
                    <c:v>واحد</c:v>
                  </c:pt>
                  <c:pt idx="42">
                    <c:v>پروژه عایداتی</c:v>
                  </c:pt>
                  <c:pt idx="43">
                    <c:v>کیلو گرام </c:v>
                  </c:pt>
                  <c:pt idx="44">
                    <c:v>متر مکعب </c:v>
                  </c:pt>
                  <c:pt idx="47">
                    <c:v>واحد</c:v>
                  </c:pt>
                  <c:pt idx="48">
                    <c:v>پروژه عایداتی</c:v>
                  </c:pt>
                  <c:pt idx="49">
                    <c:v>کیلو گرام </c:v>
                  </c:pt>
                  <c:pt idx="50">
                    <c:v>کیلو گرام </c:v>
                  </c:pt>
                  <c:pt idx="51">
                    <c:v>متر مکعب </c:v>
                  </c:pt>
                  <c:pt idx="52">
                    <c:v>انجممن </c:v>
                  </c:pt>
                  <c:pt idx="54">
                    <c:v>واحد</c:v>
                  </c:pt>
                  <c:pt idx="55">
                    <c:v>پروژه عایداتی</c:v>
                  </c:pt>
                  <c:pt idx="56">
                    <c:v>کیلو گرام </c:v>
                  </c:pt>
                  <c:pt idx="59">
                    <c:v>واحد</c:v>
                  </c:pt>
                  <c:pt idx="60">
                    <c:v>پروژه عایداتی</c:v>
                  </c:pt>
                  <c:pt idx="61">
                    <c:v>کیلو گرام </c:v>
                  </c:pt>
                  <c:pt idx="64">
                    <c:v>واحد</c:v>
                  </c:pt>
                  <c:pt idx="65">
                    <c:v>نفر </c:v>
                  </c:pt>
                  <c:pt idx="70">
                    <c:v>واحد مقیاس</c:v>
                  </c:pt>
                  <c:pt idx="72">
                    <c:v>انجمن</c:v>
                  </c:pt>
                  <c:pt idx="73">
                    <c:v>نفر</c:v>
                  </c:pt>
                  <c:pt idx="74">
                    <c:v>هکتار</c:v>
                  </c:pt>
                  <c:pt idx="75">
                    <c:v>هکتار</c:v>
                  </c:pt>
                  <c:pt idx="76">
                    <c:v>کیلوگرام </c:v>
                  </c:pt>
                  <c:pt idx="77">
                    <c:v>مترمربع </c:v>
                  </c:pt>
                  <c:pt idx="78">
                    <c:v>هکتار</c:v>
                  </c:pt>
                  <c:pt idx="79">
                    <c:v>حلقه </c:v>
                  </c:pt>
                  <c:pt idx="80">
                    <c:v>چاله </c:v>
                  </c:pt>
                  <c:pt idx="81">
                    <c:v>کیلوگرام</c:v>
                  </c:pt>
                  <c:pt idx="82">
                    <c:v>عدد</c:v>
                  </c:pt>
                  <c:pt idx="83">
                    <c:v>لیتر</c:v>
                  </c:pt>
                  <c:pt idx="86">
                    <c:v>واحد</c:v>
                  </c:pt>
                  <c:pt idx="87">
                    <c:v>هکتار</c:v>
                  </c:pt>
                  <c:pt idx="88">
                    <c:v>نفر</c:v>
                  </c:pt>
                  <c:pt idx="89">
                    <c:v>نفر</c:v>
                  </c:pt>
                  <c:pt idx="90">
                    <c:v>هکتار</c:v>
                  </c:pt>
                  <c:pt idx="91">
                    <c:v>قلمه </c:v>
                  </c:pt>
                  <c:pt idx="92">
                    <c:v>قلمه </c:v>
                  </c:pt>
                  <c:pt idx="93">
                    <c:v>اصله</c:v>
                  </c:pt>
                  <c:pt idx="94">
                    <c:v>عراده </c:v>
                  </c:pt>
                  <c:pt idx="95">
                    <c:v>حلقه </c:v>
                  </c:pt>
                  <c:pt idx="96">
                    <c:v>اصله</c:v>
                  </c:pt>
                  <c:pt idx="97">
                    <c:v>لیتر</c:v>
                  </c:pt>
                  <c:pt idx="98">
                    <c:v>اصله</c:v>
                  </c:pt>
                  <c:pt idx="99">
                    <c:v>مترمربع </c:v>
                  </c:pt>
                  <c:pt idx="100">
                    <c:v>کیلوگرام </c:v>
                  </c:pt>
                  <c:pt idx="101">
                    <c:v>مترمربع </c:v>
                  </c:pt>
                  <c:pt idx="102">
                    <c:v>کیلوگرام</c:v>
                  </c:pt>
                  <c:pt idx="103">
                    <c:v>مترمربع </c:v>
                  </c:pt>
                  <c:pt idx="104">
                    <c:v>نفر</c:v>
                  </c:pt>
                  <c:pt idx="105">
                    <c:v>هکتار</c:v>
                  </c:pt>
                  <c:pt idx="106">
                    <c:v>حلقه </c:v>
                  </c:pt>
                  <c:pt idx="107">
                    <c:v>چاله </c:v>
                  </c:pt>
                  <c:pt idx="108">
                    <c:v>کیلوگرام</c:v>
                  </c:pt>
                  <c:pt idx="109">
                    <c:v>عدد</c:v>
                  </c:pt>
                  <c:pt idx="110">
                    <c:v>لیتر</c:v>
                  </c:pt>
                  <c:pt idx="111">
                    <c:v>لیتر</c:v>
                  </c:pt>
                  <c:pt idx="114">
                    <c:v>واحد</c:v>
                  </c:pt>
                  <c:pt idx="115">
                    <c:v>انجمن</c:v>
                  </c:pt>
                  <c:pt idx="116">
                    <c:v>نفر</c:v>
                  </c:pt>
                  <c:pt idx="117">
                    <c:v>هکتار</c:v>
                  </c:pt>
                  <c:pt idx="118">
                    <c:v>هکتار</c:v>
                  </c:pt>
                  <c:pt idx="119">
                    <c:v>کیلوگرام </c:v>
                  </c:pt>
                  <c:pt idx="120">
                    <c:v>مترمربع </c:v>
                  </c:pt>
                  <c:pt idx="121">
                    <c:v>هکتار</c:v>
                  </c:pt>
                  <c:pt idx="122">
                    <c:v>حلقه </c:v>
                  </c:pt>
                  <c:pt idx="123">
                    <c:v>چاله </c:v>
                  </c:pt>
                  <c:pt idx="124">
                    <c:v>کیلوگرام</c:v>
                  </c:pt>
                  <c:pt idx="125">
                    <c:v>عدد</c:v>
                  </c:pt>
                  <c:pt idx="126">
                    <c:v>لیتر</c:v>
                  </c:pt>
                  <c:pt idx="129">
                    <c:v>واحد</c:v>
                  </c:pt>
                  <c:pt idx="130">
                    <c:v>نفر</c:v>
                  </c:pt>
                  <c:pt idx="131">
                    <c:v>هکتار</c:v>
                  </c:pt>
                  <c:pt idx="132">
                    <c:v>قلمه </c:v>
                  </c:pt>
                  <c:pt idx="133">
                    <c:v>قلمه </c:v>
                  </c:pt>
                  <c:pt idx="134">
                    <c:v>اصله</c:v>
                  </c:pt>
                  <c:pt idx="135">
                    <c:v>عراده </c:v>
                  </c:pt>
                  <c:pt idx="136">
                    <c:v>حلقه </c:v>
                  </c:pt>
                  <c:pt idx="137">
                    <c:v>اصله</c:v>
                  </c:pt>
                  <c:pt idx="138">
                    <c:v>لیتر</c:v>
                  </c:pt>
                  <c:pt idx="139">
                    <c:v>اصله</c:v>
                  </c:pt>
                  <c:pt idx="140">
                    <c:v>مترمربع </c:v>
                  </c:pt>
                  <c:pt idx="141">
                    <c:v>کیلوگرام </c:v>
                  </c:pt>
                  <c:pt idx="142">
                    <c:v>مترمربع </c:v>
                  </c:pt>
                  <c:pt idx="143">
                    <c:v>کیلوگرام</c:v>
                  </c:pt>
                  <c:pt idx="144">
                    <c:v>مترمربع </c:v>
                  </c:pt>
                  <c:pt idx="145">
                    <c:v>نفر</c:v>
                  </c:pt>
                  <c:pt idx="146">
                    <c:v>هکتار</c:v>
                  </c:pt>
                  <c:pt idx="147">
                    <c:v>حلقه </c:v>
                  </c:pt>
                  <c:pt idx="148">
                    <c:v>قلمه </c:v>
                  </c:pt>
                  <c:pt idx="149">
                    <c:v>چاله </c:v>
                  </c:pt>
                  <c:pt idx="150">
                    <c:v>دسته </c:v>
                  </c:pt>
                  <c:pt idx="151">
                    <c:v>عدد</c:v>
                  </c:pt>
                  <c:pt idx="152">
                    <c:v>لیتر</c:v>
                  </c:pt>
                  <c:pt idx="153">
                    <c:v>عراده</c:v>
                  </c:pt>
                  <c:pt idx="154">
                    <c:v>لیتر</c:v>
                  </c:pt>
                  <c:pt idx="157">
                    <c:v>واحد</c:v>
                  </c:pt>
                  <c:pt idx="158">
                    <c:v>انجمن</c:v>
                  </c:pt>
                  <c:pt idx="159">
                    <c:v>نفر</c:v>
                  </c:pt>
                  <c:pt idx="160">
                    <c:v>هکتار</c:v>
                  </c:pt>
                  <c:pt idx="161">
                    <c:v>هکتار</c:v>
                  </c:pt>
                  <c:pt idx="162">
                    <c:v>کیلوگرام </c:v>
                  </c:pt>
                  <c:pt idx="163">
                    <c:v>مترمربع </c:v>
                  </c:pt>
                  <c:pt idx="164">
                    <c:v>هکتار</c:v>
                  </c:pt>
                  <c:pt idx="165">
                    <c:v>حلقه </c:v>
                  </c:pt>
                  <c:pt idx="166">
                    <c:v>حلقه </c:v>
                  </c:pt>
                  <c:pt idx="167">
                    <c:v>کیلوگرام</c:v>
                  </c:pt>
                  <c:pt idx="168">
                    <c:v>عدد</c:v>
                  </c:pt>
                  <c:pt idx="169">
                    <c:v>لیتر</c:v>
                  </c:pt>
                  <c:pt idx="172">
                    <c:v>واحد</c:v>
                  </c:pt>
                  <c:pt idx="173">
                    <c:v>هکتار</c:v>
                  </c:pt>
                  <c:pt idx="174">
                    <c:v>نفر</c:v>
                  </c:pt>
                  <c:pt idx="175">
                    <c:v>نفر</c:v>
                  </c:pt>
                  <c:pt idx="176">
                    <c:v>مترمربع </c:v>
                  </c:pt>
                  <c:pt idx="177">
                    <c:v>نفر</c:v>
                  </c:pt>
                  <c:pt idx="180">
                    <c:v>واحد</c:v>
                  </c:pt>
                  <c:pt idx="181">
                    <c:v>هکتار</c:v>
                  </c:pt>
                  <c:pt idx="182">
                    <c:v>نفر</c:v>
                  </c:pt>
                  <c:pt idx="183">
                    <c:v>نفر</c:v>
                  </c:pt>
                  <c:pt idx="184">
                    <c:v>مترمربع </c:v>
                  </c:pt>
                  <c:pt idx="187">
                    <c:v>واحد</c:v>
                  </c:pt>
                  <c:pt idx="188">
                    <c:v>نفر</c:v>
                  </c:pt>
                  <c:pt idx="189">
                    <c:v>نفر</c:v>
                  </c:pt>
                  <c:pt idx="190">
                    <c:v>انجمن</c:v>
                  </c:pt>
                  <c:pt idx="191">
                    <c:v>نفر</c:v>
                  </c:pt>
                  <c:pt idx="192">
                    <c:v>هکتار</c:v>
                  </c:pt>
                  <c:pt idx="193">
                    <c:v>قلمه </c:v>
                  </c:pt>
                  <c:pt idx="194">
                    <c:v>قلمه </c:v>
                  </c:pt>
                  <c:pt idx="195">
                    <c:v>اصله</c:v>
                  </c:pt>
                  <c:pt idx="196">
                    <c:v>عراده </c:v>
                  </c:pt>
                  <c:pt idx="197">
                    <c:v>حلقه </c:v>
                  </c:pt>
                  <c:pt idx="198">
                    <c:v>اصله</c:v>
                  </c:pt>
                  <c:pt idx="199">
                    <c:v>لیتر</c:v>
                  </c:pt>
                  <c:pt idx="200">
                    <c:v>اصله</c:v>
                  </c:pt>
                  <c:pt idx="201">
                    <c:v>مترمربع </c:v>
                  </c:pt>
                  <c:pt idx="202">
                    <c:v>کیلوگرام </c:v>
                  </c:pt>
                  <c:pt idx="203">
                    <c:v>مترمربع </c:v>
                  </c:pt>
                  <c:pt idx="204">
                    <c:v>کیلوگرام</c:v>
                  </c:pt>
                  <c:pt idx="205">
                    <c:v>مترمربع </c:v>
                  </c:pt>
                  <c:pt idx="206">
                    <c:v>نفر</c:v>
                  </c:pt>
                  <c:pt idx="207">
                    <c:v>هکتار</c:v>
                  </c:pt>
                  <c:pt idx="208">
                    <c:v>قلمه </c:v>
                  </c:pt>
                  <c:pt idx="209">
                    <c:v>لیتر</c:v>
                  </c:pt>
                  <c:pt idx="210">
                    <c:v>لیتر</c:v>
                  </c:pt>
                  <c:pt idx="211">
                    <c:v>عدد</c:v>
                  </c:pt>
                  <c:pt idx="212">
                    <c:v>عدد</c:v>
                  </c:pt>
                  <c:pt idx="213">
                    <c:v>لیتر</c:v>
                  </c:pt>
                  <c:pt idx="216">
                    <c:v>واحد</c:v>
                  </c:pt>
                  <c:pt idx="217">
                    <c:v>نفر</c:v>
                  </c:pt>
                  <c:pt idx="218">
                    <c:v>هکتار</c:v>
                  </c:pt>
                  <c:pt idx="219">
                    <c:v>هکتار</c:v>
                  </c:pt>
                  <c:pt idx="220">
                    <c:v>قلمه </c:v>
                  </c:pt>
                  <c:pt idx="221">
                    <c:v>قلمه </c:v>
                  </c:pt>
                  <c:pt idx="222">
                    <c:v>اصله</c:v>
                  </c:pt>
                  <c:pt idx="223">
                    <c:v>عراده </c:v>
                  </c:pt>
                  <c:pt idx="224">
                    <c:v>حلقه </c:v>
                  </c:pt>
                  <c:pt idx="225">
                    <c:v>اصله</c:v>
                  </c:pt>
                  <c:pt idx="226">
                    <c:v>لیتر</c:v>
                  </c:pt>
                  <c:pt idx="227">
                    <c:v>اصله</c:v>
                  </c:pt>
                  <c:pt idx="228">
                    <c:v>مترمربع </c:v>
                  </c:pt>
                  <c:pt idx="229">
                    <c:v>کیلوگرام </c:v>
                  </c:pt>
                  <c:pt idx="230">
                    <c:v>مترمربع </c:v>
                  </c:pt>
                  <c:pt idx="231">
                    <c:v>کیلوگرام</c:v>
                  </c:pt>
                  <c:pt idx="232">
                    <c:v>مترمربع </c:v>
                  </c:pt>
                  <c:pt idx="233">
                    <c:v>نفر</c:v>
                  </c:pt>
                  <c:pt idx="234">
                    <c:v>لیتر</c:v>
                  </c:pt>
                  <c:pt idx="237">
                    <c:v>واحد</c:v>
                  </c:pt>
                  <c:pt idx="238">
                    <c:v>انجمن</c:v>
                  </c:pt>
                  <c:pt idx="239">
                    <c:v>نفر</c:v>
                  </c:pt>
                  <c:pt idx="240">
                    <c:v>هکتار</c:v>
                  </c:pt>
                  <c:pt idx="241">
                    <c:v>کیلوگرام </c:v>
                  </c:pt>
                  <c:pt idx="242">
                    <c:v>مترمربع </c:v>
                  </c:pt>
                  <c:pt idx="245">
                    <c:v>واحد</c:v>
                  </c:pt>
                  <c:pt idx="246">
                    <c:v>انجمن</c:v>
                  </c:pt>
                  <c:pt idx="247">
                    <c:v>نفر</c:v>
                  </c:pt>
                  <c:pt idx="248">
                    <c:v>هکتار</c:v>
                  </c:pt>
                  <c:pt idx="249">
                    <c:v>کیلوگرام </c:v>
                  </c:pt>
                  <c:pt idx="250">
                    <c:v>مترمربع </c:v>
                  </c:pt>
                  <c:pt idx="253">
                    <c:v>واحد</c:v>
                  </c:pt>
                  <c:pt idx="254">
                    <c:v>انجمن</c:v>
                  </c:pt>
                  <c:pt idx="255">
                    <c:v>نفر</c:v>
                  </c:pt>
                  <c:pt idx="256">
                    <c:v>هکتار</c:v>
                  </c:pt>
                  <c:pt idx="257">
                    <c:v>کیلوگرام </c:v>
                  </c:pt>
                  <c:pt idx="258">
                    <c:v>مترمربع </c:v>
                  </c:pt>
                  <c:pt idx="261">
                    <c:v>واحد</c:v>
                  </c:pt>
                  <c:pt idx="262">
                    <c:v>انجمن</c:v>
                  </c:pt>
                  <c:pt idx="263">
                    <c:v>نفر</c:v>
                  </c:pt>
                  <c:pt idx="264">
                    <c:v>هکتار</c:v>
                  </c:pt>
                  <c:pt idx="265">
                    <c:v>کیلوگرام </c:v>
                  </c:pt>
                  <c:pt idx="266">
                    <c:v>مترمربع </c:v>
                  </c:pt>
                  <c:pt idx="269">
                    <c:v>واحد</c:v>
                  </c:pt>
                  <c:pt idx="270">
                    <c:v>انجمن</c:v>
                  </c:pt>
                  <c:pt idx="271">
                    <c:v>نفر</c:v>
                  </c:pt>
                  <c:pt idx="272">
                    <c:v>هکتار</c:v>
                  </c:pt>
                  <c:pt idx="273">
                    <c:v>کیلوگرام </c:v>
                  </c:pt>
                  <c:pt idx="274">
                    <c:v>مترمربع </c:v>
                  </c:pt>
                  <c:pt idx="275">
                    <c:v>هکتار</c:v>
                  </c:pt>
                  <c:pt idx="276">
                    <c:v>حلقه </c:v>
                  </c:pt>
                  <c:pt idx="277">
                    <c:v>حلقه </c:v>
                  </c:pt>
                  <c:pt idx="278">
                    <c:v>کیلوگرام</c:v>
                  </c:pt>
                  <c:pt idx="279">
                    <c:v>عدد</c:v>
                  </c:pt>
                  <c:pt idx="280">
                    <c:v>لیتر</c:v>
                  </c:pt>
                  <c:pt idx="283">
                    <c:v>واحد</c:v>
                  </c:pt>
                  <c:pt idx="284">
                    <c:v>انجمن</c:v>
                  </c:pt>
                  <c:pt idx="285">
                    <c:v>نفر</c:v>
                  </c:pt>
                  <c:pt idx="286">
                    <c:v>هکتار</c:v>
                  </c:pt>
                  <c:pt idx="287">
                    <c:v>کیلوگرام </c:v>
                  </c:pt>
                  <c:pt idx="288">
                    <c:v>مترمربع </c:v>
                  </c:pt>
                  <c:pt idx="289">
                    <c:v>هکتار</c:v>
                  </c:pt>
                  <c:pt idx="290">
                    <c:v>حلقه </c:v>
                  </c:pt>
                  <c:pt idx="291">
                    <c:v>حلقه </c:v>
                  </c:pt>
                  <c:pt idx="292">
                    <c:v>کیلوگرام</c:v>
                  </c:pt>
                  <c:pt idx="293">
                    <c:v>عدد</c:v>
                  </c:pt>
                  <c:pt idx="294">
                    <c:v>لیتر</c:v>
                  </c:pt>
                  <c:pt idx="297">
                    <c:v>نفر</c:v>
                  </c:pt>
                  <c:pt idx="298">
                    <c:v>نفر</c:v>
                  </c:pt>
                  <c:pt idx="302">
                    <c:v>واحد</c:v>
                  </c:pt>
                  <c:pt idx="303">
                    <c:v>مترمربع </c:v>
                  </c:pt>
                  <c:pt idx="304">
                    <c:v>مترمربع </c:v>
                  </c:pt>
                  <c:pt idx="305">
                    <c:v>متر</c:v>
                  </c:pt>
                  <c:pt idx="306">
                    <c:v>مترمکعب</c:v>
                  </c:pt>
                  <c:pt idx="307">
                    <c:v>اصله </c:v>
                  </c:pt>
                  <c:pt idx="308">
                    <c:v>مترمربع </c:v>
                  </c:pt>
                  <c:pt idx="309">
                    <c:v>مرتبه </c:v>
                  </c:pt>
                  <c:pt idx="311">
                    <c:v>مترمربع </c:v>
                  </c:pt>
                  <c:pt idx="312">
                    <c:v>مترمربع </c:v>
                  </c:pt>
                  <c:pt idx="313">
                    <c:v>متر</c:v>
                  </c:pt>
                  <c:pt idx="314">
                    <c:v>مترمکعب</c:v>
                  </c:pt>
                  <c:pt idx="315">
                    <c:v>اصله </c:v>
                  </c:pt>
                  <c:pt idx="316">
                    <c:v>مترمربع </c:v>
                  </c:pt>
                  <c:pt idx="317">
                    <c:v>مرتبه </c:v>
                  </c:pt>
                  <c:pt idx="319">
                    <c:v>متر مربع </c:v>
                  </c:pt>
                  <c:pt idx="320">
                    <c:v>متر مربع </c:v>
                  </c:pt>
                  <c:pt idx="321">
                    <c:v>متر مربع </c:v>
                  </c:pt>
                  <c:pt idx="322">
                    <c:v>متر</c:v>
                  </c:pt>
                  <c:pt idx="323">
                    <c:v>متر مکعب</c:v>
                  </c:pt>
                  <c:pt idx="324">
                    <c:v>اصله </c:v>
                  </c:pt>
                  <c:pt idx="325">
                    <c:v>مرتبه </c:v>
                  </c:pt>
                  <c:pt idx="327">
                    <c:v>مترمربع </c:v>
                  </c:pt>
                  <c:pt idx="328">
                    <c:v>متر </c:v>
                  </c:pt>
                  <c:pt idx="329">
                    <c:v>متر</c:v>
                  </c:pt>
                  <c:pt idx="330">
                    <c:v>مترمربع </c:v>
                  </c:pt>
                  <c:pt idx="331">
                    <c:v>مرتبه </c:v>
                  </c:pt>
                  <c:pt idx="332">
                    <c:v>مرتبه </c:v>
                  </c:pt>
                  <c:pt idx="334">
                    <c:v>مترمربع </c:v>
                  </c:pt>
                  <c:pt idx="335">
                    <c:v>مترمربع </c:v>
                  </c:pt>
                  <c:pt idx="336">
                    <c:v>مترمربع </c:v>
                  </c:pt>
                  <c:pt idx="337">
                    <c:v>متر</c:v>
                  </c:pt>
                  <c:pt idx="338">
                    <c:v>مترمکعب</c:v>
                  </c:pt>
                  <c:pt idx="339">
                    <c:v>مرتبه </c:v>
                  </c:pt>
                  <c:pt idx="340">
                    <c:v>شبکه </c:v>
                  </c:pt>
                  <c:pt idx="342">
                    <c:v>مترمربع </c:v>
                  </c:pt>
                  <c:pt idx="343">
                    <c:v>مترمربع </c:v>
                  </c:pt>
                  <c:pt idx="344">
                    <c:v>متر</c:v>
                  </c:pt>
                  <c:pt idx="345">
                    <c:v>مترمکعب</c:v>
                  </c:pt>
                  <c:pt idx="346">
                    <c:v>مرتبه </c:v>
                  </c:pt>
                  <c:pt idx="348">
                    <c:v>مترمربع </c:v>
                  </c:pt>
                  <c:pt idx="349">
                    <c:v>مترمربع </c:v>
                  </c:pt>
                  <c:pt idx="350">
                    <c:v>خریطه</c:v>
                  </c:pt>
                  <c:pt idx="351">
                    <c:v>مترمربع </c:v>
                  </c:pt>
                  <c:pt idx="352">
                    <c:v>متر</c:v>
                  </c:pt>
                  <c:pt idx="353">
                    <c:v>مترمکعب</c:v>
                  </c:pt>
                  <c:pt idx="354">
                    <c:v>اصله </c:v>
                  </c:pt>
                  <c:pt idx="355">
                    <c:v>مرتبه </c:v>
                  </c:pt>
                  <c:pt idx="357">
                    <c:v>مترمربع </c:v>
                  </c:pt>
                  <c:pt idx="358">
                    <c:v>مترمربع </c:v>
                  </c:pt>
                  <c:pt idx="359">
                    <c:v>متر</c:v>
                  </c:pt>
                  <c:pt idx="360">
                    <c:v>مترمکعب</c:v>
                  </c:pt>
                  <c:pt idx="361">
                    <c:v>مترمربع </c:v>
                  </c:pt>
                  <c:pt idx="362">
                    <c:v>سیتم </c:v>
                  </c:pt>
                  <c:pt idx="363">
                    <c:v>مرتبه </c:v>
                  </c:pt>
                  <c:pt idx="365">
                    <c:v>مترمربع </c:v>
                  </c:pt>
                  <c:pt idx="366">
                    <c:v>مترمربع </c:v>
                  </c:pt>
                  <c:pt idx="367">
                    <c:v>مترمربع </c:v>
                  </c:pt>
                  <c:pt idx="368">
                    <c:v>متر</c:v>
                  </c:pt>
                  <c:pt idx="369">
                    <c:v>مترمکعب</c:v>
                  </c:pt>
                  <c:pt idx="370">
                    <c:v>اصله </c:v>
                  </c:pt>
                  <c:pt idx="371">
                    <c:v>مرتبه </c:v>
                  </c:pt>
                  <c:pt idx="373">
                    <c:v>مترمربع </c:v>
                  </c:pt>
                  <c:pt idx="374">
                    <c:v>مترمربع </c:v>
                  </c:pt>
                  <c:pt idx="375">
                    <c:v>خریطه</c:v>
                  </c:pt>
                  <c:pt idx="376">
                    <c:v>مترمربع </c:v>
                  </c:pt>
                  <c:pt idx="377">
                    <c:v>متر</c:v>
                  </c:pt>
                  <c:pt idx="378">
                    <c:v>مترمکعب</c:v>
                  </c:pt>
                  <c:pt idx="379">
                    <c:v>اصله </c:v>
                  </c:pt>
                  <c:pt idx="380">
                    <c:v>مرتبه </c:v>
                  </c:pt>
                  <c:pt idx="382">
                    <c:v>مترمربع </c:v>
                  </c:pt>
                  <c:pt idx="383">
                    <c:v>مترمربع </c:v>
                  </c:pt>
                  <c:pt idx="384">
                    <c:v>مترمربع </c:v>
                  </c:pt>
                  <c:pt idx="385">
                    <c:v>متر</c:v>
                  </c:pt>
                  <c:pt idx="386">
                    <c:v>مترمکعب</c:v>
                  </c:pt>
                  <c:pt idx="387">
                    <c:v>اصله </c:v>
                  </c:pt>
                  <c:pt idx="388">
                    <c:v>مرتبه </c:v>
                  </c:pt>
                  <c:pt idx="390">
                    <c:v>مترمربع </c:v>
                  </c:pt>
                  <c:pt idx="391">
                    <c:v>مترمربع </c:v>
                  </c:pt>
                  <c:pt idx="392">
                    <c:v>مترمربع </c:v>
                  </c:pt>
                  <c:pt idx="393">
                    <c:v>متر</c:v>
                  </c:pt>
                  <c:pt idx="394">
                    <c:v>مترمکعب</c:v>
                  </c:pt>
                  <c:pt idx="395">
                    <c:v>حلقه </c:v>
                  </c:pt>
                  <c:pt idx="396">
                    <c:v>مرتبه </c:v>
                  </c:pt>
                  <c:pt idx="398">
                    <c:v>مترمربع </c:v>
                  </c:pt>
                  <c:pt idx="399">
                    <c:v>مترمربع </c:v>
                  </c:pt>
                  <c:pt idx="400">
                    <c:v>مترمربع </c:v>
                  </c:pt>
                  <c:pt idx="401">
                    <c:v>خریطه</c:v>
                  </c:pt>
                  <c:pt idx="402">
                    <c:v>متر</c:v>
                  </c:pt>
                  <c:pt idx="403">
                    <c:v>مترمکعب</c:v>
                  </c:pt>
                  <c:pt idx="404">
                    <c:v>اصله </c:v>
                  </c:pt>
                  <c:pt idx="405">
                    <c:v>حلقه </c:v>
                  </c:pt>
                  <c:pt idx="406">
                    <c:v>مرتبه </c:v>
                  </c:pt>
                  <c:pt idx="408">
                    <c:v>مترمربع </c:v>
                  </c:pt>
                  <c:pt idx="409">
                    <c:v>مترمربع </c:v>
                  </c:pt>
                  <c:pt idx="410">
                    <c:v>متر</c:v>
                  </c:pt>
                  <c:pt idx="411">
                    <c:v>مترمکعب</c:v>
                  </c:pt>
                  <c:pt idx="412">
                    <c:v>مترمربع </c:v>
                  </c:pt>
                  <c:pt idx="413">
                    <c:v>باب </c:v>
                  </c:pt>
                  <c:pt idx="414">
                    <c:v>مرتبه </c:v>
                  </c:pt>
                  <c:pt idx="416">
                    <c:v>مترمربع </c:v>
                  </c:pt>
                  <c:pt idx="417">
                    <c:v>متر</c:v>
                  </c:pt>
                  <c:pt idx="418">
                    <c:v>مترمکعب</c:v>
                  </c:pt>
                  <c:pt idx="419">
                    <c:v>مترمربع </c:v>
                  </c:pt>
                  <c:pt idx="420">
                    <c:v>حلقه </c:v>
                  </c:pt>
                  <c:pt idx="421">
                    <c:v>مرتبه </c:v>
                  </c:pt>
                  <c:pt idx="423">
                    <c:v>مترمربع </c:v>
                  </c:pt>
                  <c:pt idx="424">
                    <c:v>مترمربع </c:v>
                  </c:pt>
                  <c:pt idx="425">
                    <c:v>خریطه</c:v>
                  </c:pt>
                  <c:pt idx="426">
                    <c:v>مترمربع </c:v>
                  </c:pt>
                  <c:pt idx="427">
                    <c:v>متر</c:v>
                  </c:pt>
                  <c:pt idx="428">
                    <c:v>مترمکعب</c:v>
                  </c:pt>
                  <c:pt idx="429">
                    <c:v>اصله </c:v>
                  </c:pt>
                  <c:pt idx="430">
                    <c:v>حلقه </c:v>
                  </c:pt>
                  <c:pt idx="431">
                    <c:v>اصله </c:v>
                  </c:pt>
                  <c:pt idx="432">
                    <c:v>اصله </c:v>
                  </c:pt>
                  <c:pt idx="433">
                    <c:v>مرتبه </c:v>
                  </c:pt>
                  <c:pt idx="434">
                    <c:v>نفر</c:v>
                  </c:pt>
                  <c:pt idx="435">
                    <c:v>مرتبه </c:v>
                  </c:pt>
                  <c:pt idx="436">
                    <c:v>اصله </c:v>
                  </c:pt>
                  <c:pt idx="437">
                    <c:v>مرتبه </c:v>
                  </c:pt>
                  <c:pt idx="439">
                    <c:v>مترمربع </c:v>
                  </c:pt>
                  <c:pt idx="440">
                    <c:v>مترمربع </c:v>
                  </c:pt>
                  <c:pt idx="441">
                    <c:v>متر</c:v>
                  </c:pt>
                  <c:pt idx="442">
                    <c:v>مترمکعب</c:v>
                  </c:pt>
                  <c:pt idx="443">
                    <c:v>اصله </c:v>
                  </c:pt>
                  <c:pt idx="444">
                    <c:v>مترمربع </c:v>
                  </c:pt>
                  <c:pt idx="445">
                    <c:v>مرتبه </c:v>
                  </c:pt>
                  <c:pt idx="447">
                    <c:v>مترمربع </c:v>
                  </c:pt>
                  <c:pt idx="448">
                    <c:v>خریطه</c:v>
                  </c:pt>
                  <c:pt idx="449">
                    <c:v>مترمربع </c:v>
                  </c:pt>
                  <c:pt idx="450">
                    <c:v>متر</c:v>
                  </c:pt>
                  <c:pt idx="451">
                    <c:v>مترمکعب</c:v>
                  </c:pt>
                  <c:pt idx="452">
                    <c:v>اصله </c:v>
                  </c:pt>
                  <c:pt idx="453">
                    <c:v>مترمربع </c:v>
                  </c:pt>
                  <c:pt idx="454">
                    <c:v>مرتبه </c:v>
                  </c:pt>
                  <c:pt idx="456">
                    <c:v>مترمربع </c:v>
                  </c:pt>
                  <c:pt idx="457">
                    <c:v>مترمربع </c:v>
                  </c:pt>
                  <c:pt idx="458">
                    <c:v>مترمربع </c:v>
                  </c:pt>
                  <c:pt idx="459">
                    <c:v>متر</c:v>
                  </c:pt>
                  <c:pt idx="460">
                    <c:v>مترمکعب</c:v>
                  </c:pt>
                  <c:pt idx="461">
                    <c:v>اصله </c:v>
                  </c:pt>
                  <c:pt idx="462">
                    <c:v>مرتبه </c:v>
                  </c:pt>
                  <c:pt idx="464">
                    <c:v>مترمربع </c:v>
                  </c:pt>
                  <c:pt idx="465">
                    <c:v>مترمربع </c:v>
                  </c:pt>
                  <c:pt idx="466">
                    <c:v>خریطه</c:v>
                  </c:pt>
                  <c:pt idx="467">
                    <c:v>مترمربع </c:v>
                  </c:pt>
                  <c:pt idx="468">
                    <c:v>متر</c:v>
                  </c:pt>
                  <c:pt idx="469">
                    <c:v>مترمکعب</c:v>
                  </c:pt>
                  <c:pt idx="470">
                    <c:v>اصله </c:v>
                  </c:pt>
                  <c:pt idx="471">
                    <c:v>مرتبه </c:v>
                  </c:pt>
                  <c:pt idx="473">
                    <c:v>مترمربع </c:v>
                  </c:pt>
                  <c:pt idx="474">
                    <c:v>مترمربع </c:v>
                  </c:pt>
                  <c:pt idx="475">
                    <c:v>متر</c:v>
                  </c:pt>
                  <c:pt idx="476">
                    <c:v>مترمکعب</c:v>
                  </c:pt>
                  <c:pt idx="477">
                    <c:v>اصله </c:v>
                  </c:pt>
                  <c:pt idx="478">
                    <c:v>مترمربع </c:v>
                  </c:pt>
                  <c:pt idx="479">
                    <c:v>مرتبه </c:v>
                  </c:pt>
                  <c:pt idx="481">
                    <c:v>مترمربع </c:v>
                  </c:pt>
                  <c:pt idx="482">
                    <c:v>مترمربع </c:v>
                  </c:pt>
                  <c:pt idx="483">
                    <c:v>متر</c:v>
                  </c:pt>
                  <c:pt idx="484">
                    <c:v>مترمکعب</c:v>
                  </c:pt>
                  <c:pt idx="485">
                    <c:v>اصله </c:v>
                  </c:pt>
                  <c:pt idx="486">
                    <c:v>مترمربع </c:v>
                  </c:pt>
                  <c:pt idx="487">
                    <c:v>مرتبه </c:v>
                  </c:pt>
                  <c:pt idx="489">
                    <c:v>مترمربع </c:v>
                  </c:pt>
                  <c:pt idx="490">
                    <c:v>مترمربع </c:v>
                  </c:pt>
                  <c:pt idx="491">
                    <c:v>متر</c:v>
                  </c:pt>
                  <c:pt idx="492">
                    <c:v>مترمکعب</c:v>
                  </c:pt>
                  <c:pt idx="493">
                    <c:v>اصله </c:v>
                  </c:pt>
                  <c:pt idx="494">
                    <c:v>مترمربع </c:v>
                  </c:pt>
                  <c:pt idx="495">
                    <c:v>مرتبه </c:v>
                  </c:pt>
                  <c:pt idx="497">
                    <c:v>مترمربع </c:v>
                  </c:pt>
                  <c:pt idx="498">
                    <c:v>مترمربع </c:v>
                  </c:pt>
                  <c:pt idx="499">
                    <c:v>متر</c:v>
                  </c:pt>
                  <c:pt idx="500">
                    <c:v>مترمکعب</c:v>
                  </c:pt>
                  <c:pt idx="501">
                    <c:v>اصله </c:v>
                  </c:pt>
                  <c:pt idx="502">
                    <c:v>مترمربع </c:v>
                  </c:pt>
                  <c:pt idx="503">
                    <c:v>مرتبه </c:v>
                  </c:pt>
                  <c:pt idx="505">
                    <c:v>مترمربع </c:v>
                  </c:pt>
                  <c:pt idx="506">
                    <c:v>مترمربع </c:v>
                  </c:pt>
                  <c:pt idx="507">
                    <c:v>مترمربع </c:v>
                  </c:pt>
                  <c:pt idx="508">
                    <c:v>متر</c:v>
                  </c:pt>
                  <c:pt idx="509">
                    <c:v>مترمکعب</c:v>
                  </c:pt>
                  <c:pt idx="510">
                    <c:v>اصله </c:v>
                  </c:pt>
                  <c:pt idx="511">
                    <c:v>مرتبه </c:v>
                  </c:pt>
                  <c:pt idx="513">
                    <c:v>مترمربع </c:v>
                  </c:pt>
                  <c:pt idx="514">
                    <c:v>مترمربع </c:v>
                  </c:pt>
                  <c:pt idx="515">
                    <c:v>مترمربع </c:v>
                  </c:pt>
                  <c:pt idx="516">
                    <c:v>متر</c:v>
                  </c:pt>
                  <c:pt idx="517">
                    <c:v>مترمکعب</c:v>
                  </c:pt>
                  <c:pt idx="518">
                    <c:v>مرتبه </c:v>
                  </c:pt>
                  <c:pt idx="520">
                    <c:v>مترمربع </c:v>
                  </c:pt>
                  <c:pt idx="521">
                    <c:v>مترمربع </c:v>
                  </c:pt>
                  <c:pt idx="522">
                    <c:v>مترمربع </c:v>
                  </c:pt>
                  <c:pt idx="523">
                    <c:v>متر</c:v>
                  </c:pt>
                  <c:pt idx="524">
                    <c:v>مترمکعب</c:v>
                  </c:pt>
                  <c:pt idx="525">
                    <c:v>اصله </c:v>
                  </c:pt>
                  <c:pt idx="526">
                    <c:v>مرتبه </c:v>
                  </c:pt>
                  <c:pt idx="528">
                    <c:v>مترمربع </c:v>
                  </c:pt>
                  <c:pt idx="529">
                    <c:v>مترمربع </c:v>
                  </c:pt>
                  <c:pt idx="530">
                    <c:v>مترمربع </c:v>
                  </c:pt>
                  <c:pt idx="531">
                    <c:v>متر</c:v>
                  </c:pt>
                  <c:pt idx="532">
                    <c:v>مترمکعب</c:v>
                  </c:pt>
                  <c:pt idx="533">
                    <c:v>اصله </c:v>
                  </c:pt>
                  <c:pt idx="534">
                    <c:v>مرتبه </c:v>
                  </c:pt>
                  <c:pt idx="538">
                    <c:v>واحد</c:v>
                  </c:pt>
                  <c:pt idx="539">
                    <c:v>نفر</c:v>
                  </c:pt>
                  <c:pt idx="540">
                    <c:v>نفر</c:v>
                  </c:pt>
                  <c:pt idx="541">
                    <c:v>متر</c:v>
                  </c:pt>
                  <c:pt idx="542">
                    <c:v>شبکه</c:v>
                  </c:pt>
                  <c:pt idx="544">
                    <c:v>واحد</c:v>
                  </c:pt>
                  <c:pt idx="545">
                    <c:v>نفر</c:v>
                  </c:pt>
                  <c:pt idx="546">
                    <c:v>نفر</c:v>
                  </c:pt>
                  <c:pt idx="548">
                    <c:v>واحد</c:v>
                  </c:pt>
                  <c:pt idx="549">
                    <c:v>نفر</c:v>
                  </c:pt>
                  <c:pt idx="553">
                    <c:v>نفر </c:v>
                  </c:pt>
                  <c:pt idx="565">
                    <c:v>محل امضاء</c:v>
                  </c:pt>
                  <c:pt idx="581">
                    <c:v>ارزش مجموعی</c:v>
                  </c:pt>
                  <c:pt idx="583">
                    <c:v> 800,000 </c:v>
                  </c:pt>
                  <c:pt idx="584">
                    <c:v> 64,000 </c:v>
                  </c:pt>
                  <c:pt idx="585">
                    <c:v> 40,000 </c:v>
                  </c:pt>
                  <c:pt idx="586">
                    <c:v> 904,000 </c:v>
                  </c:pt>
                  <c:pt idx="587">
                    <c:v>قیمت</c:v>
                  </c:pt>
                  <c:pt idx="588">
                    <c:v> 1,000,000 </c:v>
                  </c:pt>
                  <c:pt idx="589">
                    <c:v> 80,000 </c:v>
                  </c:pt>
                  <c:pt idx="590">
                    <c:v> 40,000 </c:v>
                  </c:pt>
                  <c:pt idx="591">
                    <c:v> 1,120,000 </c:v>
                  </c:pt>
                  <c:pt idx="592">
                    <c:v>قیمت</c:v>
                  </c:pt>
                  <c:pt idx="593">
                    <c:v> 400,000 </c:v>
                  </c:pt>
                  <c:pt idx="594">
                    <c:v> 32,000 </c:v>
                  </c:pt>
                  <c:pt idx="595">
                    <c:v> 160,000 </c:v>
                  </c:pt>
                  <c:pt idx="596">
                    <c:v> 40,000 </c:v>
                  </c:pt>
                  <c:pt idx="597">
                    <c:v> 632,000 </c:v>
                  </c:pt>
                  <c:pt idx="598">
                    <c:v>قیمت</c:v>
                  </c:pt>
                  <c:pt idx="599">
                    <c:v> 400,000 </c:v>
                  </c:pt>
                  <c:pt idx="600">
                    <c:v> 32,000 </c:v>
                  </c:pt>
                  <c:pt idx="601">
                    <c:v> 40,000 </c:v>
                  </c:pt>
                  <c:pt idx="602">
                    <c:v> 472,000 </c:v>
                  </c:pt>
                  <c:pt idx="603">
                    <c:v>قیمت</c:v>
                  </c:pt>
                  <c:pt idx="604">
                    <c:v> 600,000 </c:v>
                  </c:pt>
                  <c:pt idx="605">
                    <c:v> 48,000 </c:v>
                  </c:pt>
                  <c:pt idx="606">
                    <c:v> 40,000 </c:v>
                  </c:pt>
                  <c:pt idx="607">
                    <c:v> 688,000 </c:v>
                  </c:pt>
                  <c:pt idx="608">
                    <c:v>قیمت</c:v>
                  </c:pt>
                  <c:pt idx="609">
                    <c:v> 288,000 </c:v>
                  </c:pt>
                  <c:pt idx="610">
                    <c:v> 10,000 </c:v>
                  </c:pt>
                  <c:pt idx="611">
                    <c:v> 298,000 </c:v>
                  </c:pt>
                  <c:pt idx="612">
                    <c:v>قیمت</c:v>
                  </c:pt>
                  <c:pt idx="613">
                    <c:v> 144,000 </c:v>
                  </c:pt>
                  <c:pt idx="614">
                    <c:v> 10,000 </c:v>
                  </c:pt>
                  <c:pt idx="615">
                    <c:v> 154,000 </c:v>
                  </c:pt>
                  <c:pt idx="616">
                    <c:v>قیمت</c:v>
                  </c:pt>
                  <c:pt idx="617">
                    <c:v> 144,000 </c:v>
                  </c:pt>
                  <c:pt idx="618">
                    <c:v> 10,000 </c:v>
                  </c:pt>
                  <c:pt idx="619">
                    <c:v> 154,000 </c:v>
                  </c:pt>
                  <c:pt idx="620">
                    <c:v>قیمت</c:v>
                  </c:pt>
                  <c:pt idx="621">
                    <c:v> 1,000,000 </c:v>
                  </c:pt>
                  <c:pt idx="622">
                    <c:v> 75,000 </c:v>
                  </c:pt>
                  <c:pt idx="623">
                    <c:v> 160,000 </c:v>
                  </c:pt>
                  <c:pt idx="624">
                    <c:v> 40,000 </c:v>
                  </c:pt>
                  <c:pt idx="625">
                    <c:v> 1,275,000 </c:v>
                  </c:pt>
                  <c:pt idx="626">
                    <c:v>قیمت</c:v>
                  </c:pt>
                  <c:pt idx="627">
                    <c:v> 1,800,000 </c:v>
                  </c:pt>
                  <c:pt idx="628">
                    <c:v> 126,000 </c:v>
                  </c:pt>
                  <c:pt idx="629">
                    <c:v> 1,250,000 </c:v>
                  </c:pt>
                  <c:pt idx="630">
                    <c:v> 720,000 </c:v>
                  </c:pt>
                  <c:pt idx="631">
                    <c:v> 1,000,000 </c:v>
                  </c:pt>
                  <c:pt idx="632">
                    <c:v> 4,896,000 </c:v>
                  </c:pt>
                  <c:pt idx="633">
                    <c:v>قیمت</c:v>
                  </c:pt>
                  <c:pt idx="634">
                    <c:v> 400,000 </c:v>
                  </c:pt>
                  <c:pt idx="635">
                    <c:v> 32,000 </c:v>
                  </c:pt>
                  <c:pt idx="636">
                    <c:v> 40,000 </c:v>
                  </c:pt>
                  <c:pt idx="637">
                    <c:v> 472,000 </c:v>
                  </c:pt>
                  <c:pt idx="638">
                    <c:v>قیمت</c:v>
                  </c:pt>
                  <c:pt idx="639">
                    <c:v> 600,000 </c:v>
                  </c:pt>
                  <c:pt idx="640">
                    <c:v> 48,000 </c:v>
                  </c:pt>
                  <c:pt idx="641">
                    <c:v> 40,000 </c:v>
                  </c:pt>
                  <c:pt idx="642">
                    <c:v> 688,000 </c:v>
                  </c:pt>
                  <c:pt idx="643">
                    <c:v>قیمت</c:v>
                  </c:pt>
                  <c:pt idx="644">
                    <c:v> 1,200,000 </c:v>
                  </c:pt>
                  <c:pt idx="645">
                    <c:v> 817,000 </c:v>
                  </c:pt>
                  <c:pt idx="646">
                    <c:v> 2,017,000 </c:v>
                  </c:pt>
                  <c:pt idx="647">
                    <c:v> 13,770,000 </c:v>
                  </c:pt>
                  <c:pt idx="649">
                    <c:v>بودجه </c:v>
                  </c:pt>
                  <c:pt idx="651">
                    <c:v> 10,000 </c:v>
                  </c:pt>
                  <c:pt idx="652">
                    <c:v> 60,000 </c:v>
                  </c:pt>
                  <c:pt idx="655">
                    <c:v> 150,000 </c:v>
                  </c:pt>
                  <c:pt idx="656">
                    <c:v> 60,000 </c:v>
                  </c:pt>
                  <c:pt idx="658">
                    <c:v> 160,000 </c:v>
                  </c:pt>
                  <c:pt idx="659">
                    <c:v> 80,000 </c:v>
                  </c:pt>
                  <c:pt idx="660">
                    <c:v> 60,000 </c:v>
                  </c:pt>
                  <c:pt idx="661">
                    <c:v> 3,600 </c:v>
                  </c:pt>
                  <c:pt idx="662">
                    <c:v> 10,000 </c:v>
                  </c:pt>
                  <c:pt idx="663">
                    <c:v> 18,569 </c:v>
                  </c:pt>
                  <c:pt idx="664">
                    <c:v> 612,169 </c:v>
                  </c:pt>
                  <c:pt idx="665">
                    <c:v>قیمت</c:v>
                  </c:pt>
                  <c:pt idx="667">
                    <c:v> 108,000 </c:v>
                  </c:pt>
                  <c:pt idx="668">
                    <c:v> 96,000 </c:v>
                  </c:pt>
                  <c:pt idx="670">
                    <c:v> 60,800 </c:v>
                  </c:pt>
                  <c:pt idx="671">
                    <c:v> 101,333 </c:v>
                  </c:pt>
                  <c:pt idx="672">
                    <c:v> 264,000 </c:v>
                  </c:pt>
                  <c:pt idx="673">
                    <c:v> 100,000 </c:v>
                  </c:pt>
                  <c:pt idx="674">
                    <c:v> 330,000 </c:v>
                  </c:pt>
                  <c:pt idx="675">
                    <c:v> 330,000 </c:v>
                  </c:pt>
                  <c:pt idx="676">
                    <c:v> 264,000 </c:v>
                  </c:pt>
                  <c:pt idx="677">
                    <c:v> 528,000 </c:v>
                  </c:pt>
                  <c:pt idx="678">
                    <c:v> 160,000 </c:v>
                  </c:pt>
                  <c:pt idx="679">
                    <c:v> 7,500 </c:v>
                  </c:pt>
                  <c:pt idx="680">
                    <c:v> 2,000 </c:v>
                  </c:pt>
                  <c:pt idx="681">
                    <c:v> 16,000 </c:v>
                  </c:pt>
                  <c:pt idx="682">
                    <c:v> 80,000 </c:v>
                  </c:pt>
                  <c:pt idx="683">
                    <c:v> 72,000 </c:v>
                  </c:pt>
                  <c:pt idx="685">
                    <c:v> 160,000 </c:v>
                  </c:pt>
                  <c:pt idx="686">
                    <c:v> 80,000 </c:v>
                  </c:pt>
                  <c:pt idx="687">
                    <c:v> 60,000 </c:v>
                  </c:pt>
                  <c:pt idx="688">
                    <c:v> 3,600 </c:v>
                  </c:pt>
                  <c:pt idx="689">
                    <c:v> 10,000 </c:v>
                  </c:pt>
                  <c:pt idx="690">
                    <c:v> 10,000 </c:v>
                  </c:pt>
                  <c:pt idx="691">
                    <c:v> 18,569 </c:v>
                  </c:pt>
                  <c:pt idx="692">
                    <c:v> 2,861,802 </c:v>
                  </c:pt>
                  <c:pt idx="693">
                    <c:v>قیمت</c:v>
                  </c:pt>
                  <c:pt idx="694">
                    <c:v> 10,000 </c:v>
                  </c:pt>
                  <c:pt idx="695">
                    <c:v> 60,000 </c:v>
                  </c:pt>
                  <c:pt idx="698">
                    <c:v> 100,000 </c:v>
                  </c:pt>
                  <c:pt idx="699">
                    <c:v> 100,000 </c:v>
                  </c:pt>
                  <c:pt idx="701">
                    <c:v> 160,000 </c:v>
                  </c:pt>
                  <c:pt idx="702">
                    <c:v> 80,000 </c:v>
                  </c:pt>
                  <c:pt idx="703">
                    <c:v> 60,000 </c:v>
                  </c:pt>
                  <c:pt idx="704">
                    <c:v> 3,600 </c:v>
                  </c:pt>
                  <c:pt idx="705">
                    <c:v> 10,000 </c:v>
                  </c:pt>
                  <c:pt idx="706">
                    <c:v> 18,569 </c:v>
                  </c:pt>
                  <c:pt idx="707">
                    <c:v> 602,169 </c:v>
                  </c:pt>
                  <c:pt idx="708">
                    <c:v>قیمت</c:v>
                  </c:pt>
                  <c:pt idx="709">
                    <c:v> 96,000 </c:v>
                  </c:pt>
                  <c:pt idx="711">
                    <c:v> 48,000 </c:v>
                  </c:pt>
                  <c:pt idx="712">
                    <c:v> 80,000 </c:v>
                  </c:pt>
                  <c:pt idx="713">
                    <c:v> 200,000 </c:v>
                  </c:pt>
                  <c:pt idx="714">
                    <c:v> 100,000 </c:v>
                  </c:pt>
                  <c:pt idx="715">
                    <c:v> 250,000 </c:v>
                  </c:pt>
                  <c:pt idx="716">
                    <c:v> 250,000 </c:v>
                  </c:pt>
                  <c:pt idx="717">
                    <c:v> 200,000 </c:v>
                  </c:pt>
                  <c:pt idx="718">
                    <c:v> 400,000 </c:v>
                  </c:pt>
                  <c:pt idx="719">
                    <c:v> 160,000 </c:v>
                  </c:pt>
                  <c:pt idx="720">
                    <c:v> 7,500 </c:v>
                  </c:pt>
                  <c:pt idx="721">
                    <c:v> 2,000 </c:v>
                  </c:pt>
                  <c:pt idx="722">
                    <c:v> 16,000 </c:v>
                  </c:pt>
                  <c:pt idx="723">
                    <c:v> 80,000 </c:v>
                  </c:pt>
                  <c:pt idx="724">
                    <c:v> 72,000 </c:v>
                  </c:pt>
                  <c:pt idx="726">
                    <c:v> 160,000 </c:v>
                  </c:pt>
                  <c:pt idx="727">
                    <c:v> 80,000 </c:v>
                  </c:pt>
                  <c:pt idx="728">
                    <c:v> 80,000 </c:v>
                  </c:pt>
                  <c:pt idx="729">
                    <c:v> 15,000 </c:v>
                  </c:pt>
                  <c:pt idx="730">
                    <c:v> 3,600 </c:v>
                  </c:pt>
                  <c:pt idx="731">
                    <c:v> 20,000 </c:v>
                  </c:pt>
                  <c:pt idx="732">
                    <c:v> 8,000 </c:v>
                  </c:pt>
                  <c:pt idx="733">
                    <c:v> 10,000 </c:v>
                  </c:pt>
                  <c:pt idx="734">
                    <c:v> 18,569 </c:v>
                  </c:pt>
                  <c:pt idx="735">
                    <c:v> 2,356,669 </c:v>
                  </c:pt>
                  <c:pt idx="736">
                    <c:v>قیمت</c:v>
                  </c:pt>
                  <c:pt idx="737">
                    <c:v> 10,000 </c:v>
                  </c:pt>
                  <c:pt idx="738">
                    <c:v> 60,000 </c:v>
                  </c:pt>
                  <c:pt idx="741">
                    <c:v> 100,000 </c:v>
                  </c:pt>
                  <c:pt idx="742">
                    <c:v> 100,000 </c:v>
                  </c:pt>
                  <c:pt idx="744">
                    <c:v> 320,000 </c:v>
                  </c:pt>
                  <c:pt idx="745">
                    <c:v> 160,000 </c:v>
                  </c:pt>
                  <c:pt idx="746">
                    <c:v> 120,000 </c:v>
                  </c:pt>
                  <c:pt idx="747">
                    <c:v> 7,200 </c:v>
                  </c:pt>
                  <c:pt idx="748">
                    <c:v> 20,000 </c:v>
                  </c:pt>
                  <c:pt idx="749">
                    <c:v> 18,569 </c:v>
                  </c:pt>
                  <c:pt idx="750">
                    <c:v> 915,769 </c:v>
                  </c:pt>
                  <c:pt idx="751">
                    <c:v>قیمت</c:v>
                  </c:pt>
                  <c:pt idx="753">
                    <c:v> 108,000 </c:v>
                  </c:pt>
                  <c:pt idx="754">
                    <c:v> 96,000 </c:v>
                  </c:pt>
                  <c:pt idx="755">
                    <c:v> 160,000 </c:v>
                  </c:pt>
                  <c:pt idx="756">
                    <c:v> 72,000 </c:v>
                  </c:pt>
                  <c:pt idx="757">
                    <c:v> 18,569 </c:v>
                  </c:pt>
                  <c:pt idx="758">
                    <c:v> 454,569 </c:v>
                  </c:pt>
                  <c:pt idx="759">
                    <c:v>قیمت</c:v>
                  </c:pt>
                  <c:pt idx="761">
                    <c:v> 96,000 </c:v>
                  </c:pt>
                  <c:pt idx="762">
                    <c:v> 72,000 </c:v>
                  </c:pt>
                  <c:pt idx="763">
                    <c:v> 160,000 </c:v>
                  </c:pt>
                  <c:pt idx="764">
                    <c:v> 18,569 </c:v>
                  </c:pt>
                  <c:pt idx="765">
                    <c:v> 346,569 </c:v>
                  </c:pt>
                  <c:pt idx="766">
                    <c:v>قیمت</c:v>
                  </c:pt>
                  <c:pt idx="767">
                    <c:v> 108,000 </c:v>
                  </c:pt>
                  <c:pt idx="768">
                    <c:v> 96,000 </c:v>
                  </c:pt>
                  <c:pt idx="769">
                    <c:v> 10,000 </c:v>
                  </c:pt>
                  <c:pt idx="770">
                    <c:v> 60,000 </c:v>
                  </c:pt>
                  <c:pt idx="772">
                    <c:v> 48,000 </c:v>
                  </c:pt>
                  <c:pt idx="773">
                    <c:v> 80,000 </c:v>
                  </c:pt>
                  <c:pt idx="774">
                    <c:v> 200,000 </c:v>
                  </c:pt>
                  <c:pt idx="775">
                    <c:v> 100,000 </c:v>
                  </c:pt>
                  <c:pt idx="776">
                    <c:v> 250,000 </c:v>
                  </c:pt>
                  <c:pt idx="777">
                    <c:v> 250,000 </c:v>
                  </c:pt>
                  <c:pt idx="778">
                    <c:v> 200,000 </c:v>
                  </c:pt>
                  <c:pt idx="779">
                    <c:v> 400,000 </c:v>
                  </c:pt>
                  <c:pt idx="780">
                    <c:v> 160,000 </c:v>
                  </c:pt>
                  <c:pt idx="781">
                    <c:v> 7,500 </c:v>
                  </c:pt>
                  <c:pt idx="782">
                    <c:v> 2,000 </c:v>
                  </c:pt>
                  <c:pt idx="783">
                    <c:v> 16,000 </c:v>
                  </c:pt>
                  <c:pt idx="784">
                    <c:v> 80,000 </c:v>
                  </c:pt>
                  <c:pt idx="785">
                    <c:v> 72,000 </c:v>
                  </c:pt>
                  <c:pt idx="786">
                    <c:v> -   </c:v>
                  </c:pt>
                  <c:pt idx="787">
                    <c:v> 160,000 </c:v>
                  </c:pt>
                  <c:pt idx="788">
                    <c:v> 10,000 </c:v>
                  </c:pt>
                  <c:pt idx="789">
                    <c:v> 80,000 </c:v>
                  </c:pt>
                  <c:pt idx="790">
                    <c:v> 60,000 </c:v>
                  </c:pt>
                  <c:pt idx="791">
                    <c:v> 3,600 </c:v>
                  </c:pt>
                  <c:pt idx="792">
                    <c:v> 10,000 </c:v>
                  </c:pt>
                  <c:pt idx="793">
                    <c:v> 18,569 </c:v>
                  </c:pt>
                  <c:pt idx="794">
                    <c:v> 2,481,669 </c:v>
                  </c:pt>
                  <c:pt idx="795">
                    <c:v>قیمت</c:v>
                  </c:pt>
                  <c:pt idx="796">
                    <c:v> 96,000 </c:v>
                  </c:pt>
                  <c:pt idx="799">
                    <c:v> 48,000 </c:v>
                  </c:pt>
                  <c:pt idx="800">
                    <c:v> 80,000 </c:v>
                  </c:pt>
                  <c:pt idx="801">
                    <c:v> 200,000 </c:v>
                  </c:pt>
                  <c:pt idx="802">
                    <c:v> 100,000 </c:v>
                  </c:pt>
                  <c:pt idx="803">
                    <c:v> 250,000 </c:v>
                  </c:pt>
                  <c:pt idx="804">
                    <c:v> 250,000 </c:v>
                  </c:pt>
                  <c:pt idx="805">
                    <c:v> 200,000 </c:v>
                  </c:pt>
                  <c:pt idx="806">
                    <c:v> 400,000 </c:v>
                  </c:pt>
                  <c:pt idx="807">
                    <c:v> 160,000 </c:v>
                  </c:pt>
                  <c:pt idx="808">
                    <c:v> 7,500 </c:v>
                  </c:pt>
                  <c:pt idx="809">
                    <c:v> 2,000 </c:v>
                  </c:pt>
                  <c:pt idx="810">
                    <c:v> 16,000 </c:v>
                  </c:pt>
                  <c:pt idx="811">
                    <c:v> 80,000 </c:v>
                  </c:pt>
                  <c:pt idx="812">
                    <c:v> 72,000 </c:v>
                  </c:pt>
                  <c:pt idx="813">
                    <c:v> 10,000 </c:v>
                  </c:pt>
                  <c:pt idx="814">
                    <c:v> 18,569 </c:v>
                  </c:pt>
                  <c:pt idx="815">
                    <c:v> 1,990,069 </c:v>
                  </c:pt>
                  <c:pt idx="816">
                    <c:v>قیمت</c:v>
                  </c:pt>
                  <c:pt idx="817">
                    <c:v> 10,000 </c:v>
                  </c:pt>
                  <c:pt idx="818">
                    <c:v> 60,000 </c:v>
                  </c:pt>
                  <c:pt idx="820">
                    <c:v> 250,000 </c:v>
                  </c:pt>
                  <c:pt idx="821">
                    <c:v> 100,000 </c:v>
                  </c:pt>
                  <c:pt idx="822">
                    <c:v> 18,569 </c:v>
                  </c:pt>
                  <c:pt idx="823">
                    <c:v> 438,569 </c:v>
                  </c:pt>
                  <c:pt idx="824">
                    <c:v>قیمت</c:v>
                  </c:pt>
                  <c:pt idx="825">
                    <c:v> 10,000 </c:v>
                  </c:pt>
                  <c:pt idx="826">
                    <c:v> 60,000 </c:v>
                  </c:pt>
                  <c:pt idx="828">
                    <c:v> 250,000 </c:v>
                  </c:pt>
                  <c:pt idx="829">
                    <c:v> 100,000 </c:v>
                  </c:pt>
                  <c:pt idx="830">
                    <c:v> 18,569 </c:v>
                  </c:pt>
                  <c:pt idx="831">
                    <c:v> 438,569 </c:v>
                  </c:pt>
                  <c:pt idx="832">
                    <c:v>قیمت</c:v>
                  </c:pt>
                  <c:pt idx="833">
                    <c:v> 10,000 </c:v>
                  </c:pt>
                  <c:pt idx="834">
                    <c:v> 60,000 </c:v>
                  </c:pt>
                  <c:pt idx="836">
                    <c:v> 250,000 </c:v>
                  </c:pt>
                  <c:pt idx="837">
                    <c:v> 100,000 </c:v>
                  </c:pt>
                  <c:pt idx="838">
                    <c:v> 18,569 </c:v>
                  </c:pt>
                  <c:pt idx="839">
                    <c:v> 438,569 </c:v>
                  </c:pt>
                  <c:pt idx="840">
                    <c:v>قیمت</c:v>
                  </c:pt>
                  <c:pt idx="841">
                    <c:v> 10,000 </c:v>
                  </c:pt>
                  <c:pt idx="842">
                    <c:v> 60,000 </c:v>
                  </c:pt>
                  <c:pt idx="844">
                    <c:v> 100,000 </c:v>
                  </c:pt>
                  <c:pt idx="845">
                    <c:v> 100,000 </c:v>
                  </c:pt>
                  <c:pt idx="846">
                    <c:v> 18,569 </c:v>
                  </c:pt>
                  <c:pt idx="847">
                    <c:v> 288,569 </c:v>
                  </c:pt>
                  <c:pt idx="848">
                    <c:v>قیمت</c:v>
                  </c:pt>
                  <c:pt idx="849">
                    <c:v> 10,000 </c:v>
                  </c:pt>
                  <c:pt idx="850">
                    <c:v> 60,000 </c:v>
                  </c:pt>
                  <c:pt idx="852">
                    <c:v> 100,000 </c:v>
                  </c:pt>
                  <c:pt idx="853">
                    <c:v> 100,000 </c:v>
                  </c:pt>
                  <c:pt idx="855">
                    <c:v> 320,000 </c:v>
                  </c:pt>
                  <c:pt idx="856">
                    <c:v> 160,000 </c:v>
                  </c:pt>
                  <c:pt idx="857">
                    <c:v> 120,000 </c:v>
                  </c:pt>
                  <c:pt idx="858">
                    <c:v> 7,200 </c:v>
                  </c:pt>
                  <c:pt idx="859">
                    <c:v> 20,000 </c:v>
                  </c:pt>
                  <c:pt idx="860">
                    <c:v> 18,569 </c:v>
                  </c:pt>
                  <c:pt idx="861">
                    <c:v> 915,769 </c:v>
                  </c:pt>
                  <c:pt idx="862">
                    <c:v>قیمت</c:v>
                  </c:pt>
                  <c:pt idx="863">
                    <c:v> 10,000 </c:v>
                  </c:pt>
                  <c:pt idx="864">
                    <c:v> 60,000 </c:v>
                  </c:pt>
                  <c:pt idx="866">
                    <c:v> 250,000 </c:v>
                  </c:pt>
                  <c:pt idx="867">
                    <c:v> 100,000 </c:v>
                  </c:pt>
                  <c:pt idx="869">
                    <c:v> 160,000 </c:v>
                  </c:pt>
                  <c:pt idx="870">
                    <c:v> 80,000 </c:v>
                  </c:pt>
                  <c:pt idx="871">
                    <c:v> 60,000 </c:v>
                  </c:pt>
                  <c:pt idx="872">
                    <c:v> 7,200 </c:v>
                  </c:pt>
                  <c:pt idx="873">
                    <c:v> 10,000 </c:v>
                  </c:pt>
                  <c:pt idx="874">
                    <c:v> 18,569 </c:v>
                  </c:pt>
                  <c:pt idx="875">
                    <c:v> 755,769 </c:v>
                  </c:pt>
                  <c:pt idx="876">
                    <c:v> 914,221 </c:v>
                  </c:pt>
                  <c:pt idx="877">
                    <c:v> 997,332 </c:v>
                  </c:pt>
                  <c:pt idx="878">
                    <c:v> 1,911,553 </c:v>
                  </c:pt>
                  <c:pt idx="879">
                    <c:v> 17,808,821 </c:v>
                  </c:pt>
                  <c:pt idx="881">
                    <c:v>قیمت</c:v>
                  </c:pt>
                  <c:pt idx="882">
                    <c:v> 10,000 </c:v>
                  </c:pt>
                  <c:pt idx="883">
                    <c:v> 120,000 </c:v>
                  </c:pt>
                  <c:pt idx="884">
                    <c:v> 2,872 </c:v>
                  </c:pt>
                  <c:pt idx="885">
                    <c:v> 16,000 </c:v>
                  </c:pt>
                  <c:pt idx="886">
                    <c:v> 20,000 </c:v>
                  </c:pt>
                  <c:pt idx="887">
                    <c:v> 4,000 </c:v>
                  </c:pt>
                  <c:pt idx="888">
                    <c:v> 30,000 </c:v>
                  </c:pt>
                  <c:pt idx="889">
                    <c:v> 202,872 </c:v>
                  </c:pt>
                  <c:pt idx="890">
                    <c:v> 50,000 </c:v>
                  </c:pt>
                  <c:pt idx="891">
                    <c:v> 120,000 </c:v>
                  </c:pt>
                  <c:pt idx="892">
                    <c:v> 2,500 </c:v>
                  </c:pt>
                  <c:pt idx="893">
                    <c:v> 8,800 </c:v>
                  </c:pt>
                  <c:pt idx="894">
                    <c:v> 20,000 </c:v>
                  </c:pt>
                  <c:pt idx="895">
                    <c:v> 4,000 </c:v>
                  </c:pt>
                  <c:pt idx="896">
                    <c:v> 20,000 </c:v>
                  </c:pt>
                  <c:pt idx="897">
                    <c:v> 225,300 </c:v>
                  </c:pt>
                  <c:pt idx="898">
                    <c:v> 50,000 </c:v>
                  </c:pt>
                  <c:pt idx="899">
                    <c:v> 4,000 </c:v>
                  </c:pt>
                  <c:pt idx="900">
                    <c:v> 120,000 </c:v>
                  </c:pt>
                  <c:pt idx="901">
                    <c:v> 3,000 </c:v>
                  </c:pt>
                  <c:pt idx="902">
                    <c:v> 16,000 </c:v>
                  </c:pt>
                  <c:pt idx="903">
                    <c:v> 20,000 </c:v>
                  </c:pt>
                  <c:pt idx="904">
                    <c:v> 20,000 </c:v>
                  </c:pt>
                  <c:pt idx="905">
                    <c:v> 233,000 </c:v>
                  </c:pt>
                  <c:pt idx="906">
                    <c:v> 300,000 </c:v>
                  </c:pt>
                  <c:pt idx="907">
                    <c:v> 20,000 </c:v>
                  </c:pt>
                  <c:pt idx="908">
                    <c:v> 5,000 </c:v>
                  </c:pt>
                  <c:pt idx="909">
                    <c:v> 8,000 </c:v>
                  </c:pt>
                  <c:pt idx="910">
                    <c:v> 200,000 </c:v>
                  </c:pt>
                  <c:pt idx="911">
                    <c:v> 10,865,694 </c:v>
                  </c:pt>
                  <c:pt idx="912">
                    <c:v> 11,398,694 </c:v>
                  </c:pt>
                  <c:pt idx="913">
                    <c:v> 40,000 </c:v>
                  </c:pt>
                  <c:pt idx="914">
                    <c:v> 4,000 </c:v>
                  </c:pt>
                  <c:pt idx="915">
                    <c:v> 120,000 </c:v>
                  </c:pt>
                  <c:pt idx="916">
                    <c:v> 2,500 </c:v>
                  </c:pt>
                  <c:pt idx="917">
                    <c:v> 9,600 </c:v>
                  </c:pt>
                  <c:pt idx="918">
                    <c:v> 30,000 </c:v>
                  </c:pt>
                  <c:pt idx="919">
                    <c:v> 1,250,000 </c:v>
                  </c:pt>
                  <c:pt idx="920">
                    <c:v> 1,456,100 </c:v>
                  </c:pt>
                  <c:pt idx="921">
                    <c:v> 40,000 </c:v>
                  </c:pt>
                  <c:pt idx="922">
                    <c:v> 160,000 </c:v>
                  </c:pt>
                  <c:pt idx="923">
                    <c:v> 2,500 </c:v>
                  </c:pt>
                  <c:pt idx="924">
                    <c:v> 9,600 </c:v>
                  </c:pt>
                  <c:pt idx="925">
                    <c:v> 30,000 </c:v>
                  </c:pt>
                  <c:pt idx="926">
                    <c:v> 242,100 </c:v>
                  </c:pt>
                  <c:pt idx="927">
                    <c:v> 150,000 </c:v>
                  </c:pt>
                  <c:pt idx="928">
                    <c:v> 8,000 </c:v>
                  </c:pt>
                  <c:pt idx="929">
                    <c:v> 26,667 </c:v>
                  </c:pt>
                  <c:pt idx="930">
                    <c:v> 280,000 </c:v>
                  </c:pt>
                  <c:pt idx="931">
                    <c:v> 3,000 </c:v>
                  </c:pt>
                  <c:pt idx="932">
                    <c:v> 16,000 </c:v>
                  </c:pt>
                  <c:pt idx="933">
                    <c:v> 20,000 </c:v>
                  </c:pt>
                  <c:pt idx="934">
                    <c:v> 30,000 </c:v>
                  </c:pt>
                  <c:pt idx="935">
                    <c:v> 533,667 </c:v>
                  </c:pt>
                  <c:pt idx="936">
                    <c:v> 30,000 </c:v>
                  </c:pt>
                  <c:pt idx="937">
                    <c:v> 80,000 </c:v>
                  </c:pt>
                  <c:pt idx="938">
                    <c:v> 3,000 </c:v>
                  </c:pt>
                  <c:pt idx="939">
                    <c:v> 12,000 </c:v>
                  </c:pt>
                  <c:pt idx="940">
                    <c:v> 4,000 </c:v>
                  </c:pt>
                  <c:pt idx="941">
                    <c:v> 1,563,000 </c:v>
                  </c:pt>
                  <c:pt idx="942">
                    <c:v> 20,000 </c:v>
                  </c:pt>
                  <c:pt idx="943">
                    <c:v> 1,712,000 </c:v>
                  </c:pt>
                  <c:pt idx="944">
                    <c:v> 50,000 </c:v>
                  </c:pt>
                  <c:pt idx="945">
                    <c:v> 4,000 </c:v>
                  </c:pt>
                  <c:pt idx="946">
                    <c:v> 240,000 </c:v>
                  </c:pt>
                  <c:pt idx="947">
                    <c:v> 3,000 </c:v>
                  </c:pt>
                  <c:pt idx="948">
                    <c:v> 12,000 </c:v>
                  </c:pt>
                  <c:pt idx="949">
                    <c:v> 20,000 </c:v>
                  </c:pt>
                  <c:pt idx="950">
                    <c:v> 30,000 </c:v>
                  </c:pt>
                  <c:pt idx="951">
                    <c:v> 359,000 </c:v>
                  </c:pt>
                  <c:pt idx="952">
                    <c:v> 60,000 </c:v>
                  </c:pt>
                  <c:pt idx="953">
                    <c:v> 4,000 </c:v>
                  </c:pt>
                  <c:pt idx="954">
                    <c:v> 26,667 </c:v>
                  </c:pt>
                  <c:pt idx="955">
                    <c:v> 200,000 </c:v>
                  </c:pt>
                  <c:pt idx="956">
                    <c:v> 3,000 </c:v>
                  </c:pt>
                  <c:pt idx="957">
                    <c:v> 9,600 </c:v>
                  </c:pt>
                  <c:pt idx="958">
                    <c:v> 20,000 </c:v>
                  </c:pt>
                  <c:pt idx="959">
                    <c:v> 30,000 </c:v>
                  </c:pt>
                  <c:pt idx="960">
                    <c:v> 353,267 </c:v>
                  </c:pt>
                  <c:pt idx="961">
                    <c:v> 50,000 </c:v>
                  </c:pt>
                  <c:pt idx="962">
                    <c:v> 4,000 </c:v>
                  </c:pt>
                  <c:pt idx="963">
                    <c:v> 200,000 </c:v>
                  </c:pt>
                  <c:pt idx="964">
                    <c:v> 3,000 </c:v>
                  </c:pt>
                  <c:pt idx="965">
                    <c:v> 16,000 </c:v>
                  </c:pt>
                  <c:pt idx="966">
                    <c:v> 20,000 </c:v>
                  </c:pt>
                  <c:pt idx="967">
                    <c:v> 30,000 </c:v>
                  </c:pt>
                  <c:pt idx="968">
                    <c:v> 323,000 </c:v>
                  </c:pt>
                  <c:pt idx="969">
                    <c:v> 60,000 </c:v>
                  </c:pt>
                  <c:pt idx="970">
                    <c:v> 4,000 </c:v>
                  </c:pt>
                  <c:pt idx="971">
                    <c:v> 200,000 </c:v>
                  </c:pt>
                  <c:pt idx="972">
                    <c:v> 2,500 </c:v>
                  </c:pt>
                  <c:pt idx="973">
                    <c:v> 12,000 </c:v>
                  </c:pt>
                  <c:pt idx="974">
                    <c:v> 700,000 </c:v>
                  </c:pt>
                  <c:pt idx="975">
                    <c:v> 30,000 </c:v>
                  </c:pt>
                  <c:pt idx="976">
                    <c:v> 1,008,500 </c:v>
                  </c:pt>
                  <c:pt idx="977">
                    <c:v> 60,000 </c:v>
                  </c:pt>
                  <c:pt idx="978">
                    <c:v> 4,000 </c:v>
                  </c:pt>
                  <c:pt idx="979">
                    <c:v> 200,000 </c:v>
                  </c:pt>
                  <c:pt idx="980">
                    <c:v> 20,000 </c:v>
                  </c:pt>
                  <c:pt idx="981">
                    <c:v> 3,000 </c:v>
                  </c:pt>
                  <c:pt idx="982">
                    <c:v> 8,600 </c:v>
                  </c:pt>
                  <c:pt idx="983">
                    <c:v> 20,000 </c:v>
                  </c:pt>
                  <c:pt idx="984">
                    <c:v> 700,000 </c:v>
                  </c:pt>
                  <c:pt idx="985">
                    <c:v> 30,000 </c:v>
                  </c:pt>
                  <c:pt idx="986">
                    <c:v> 1,045,600 </c:v>
                  </c:pt>
                  <c:pt idx="987">
                    <c:v> 50,000 </c:v>
                  </c:pt>
                  <c:pt idx="988">
                    <c:v> 120,000 </c:v>
                  </c:pt>
                  <c:pt idx="989">
                    <c:v> 2,500 </c:v>
                  </c:pt>
                  <c:pt idx="990">
                    <c:v> 12,000 </c:v>
                  </c:pt>
                  <c:pt idx="991">
                    <c:v> 4,000 </c:v>
                  </c:pt>
                  <c:pt idx="992">
                    <c:v> 585,102 </c:v>
                  </c:pt>
                  <c:pt idx="993">
                    <c:v> 30,000 </c:v>
                  </c:pt>
                  <c:pt idx="994">
                    <c:v> 803,602 </c:v>
                  </c:pt>
                  <c:pt idx="995">
                    <c:v> 100,000 </c:v>
                  </c:pt>
                  <c:pt idx="996">
                    <c:v> 2,500 </c:v>
                  </c:pt>
                  <c:pt idx="997">
                    <c:v> 8,000 </c:v>
                  </c:pt>
                  <c:pt idx="998">
                    <c:v> 4,000 </c:v>
                  </c:pt>
                  <c:pt idx="999">
                    <c:v> 500,000 </c:v>
                  </c:pt>
                  <c:pt idx="1000">
                    <c:v> 20,000 </c:v>
                  </c:pt>
                  <c:pt idx="1001">
                    <c:v> 634,500 </c:v>
                  </c:pt>
                  <c:pt idx="1002">
                    <c:v> 150,000 </c:v>
                  </c:pt>
                  <c:pt idx="1003">
                    <c:v> 8,000 </c:v>
                  </c:pt>
                  <c:pt idx="1004">
                    <c:v> 53,333 </c:v>
                  </c:pt>
                  <c:pt idx="1005">
                    <c:v> 280,000 </c:v>
                  </c:pt>
                  <c:pt idx="1006">
                    <c:v> 3,000 </c:v>
                  </c:pt>
                  <c:pt idx="1007">
                    <c:v> 16,000 </c:v>
                  </c:pt>
                  <c:pt idx="1008">
                    <c:v> 30,000 </c:v>
                  </c:pt>
                  <c:pt idx="1009">
                    <c:v> 133,333 </c:v>
                  </c:pt>
                  <c:pt idx="1010">
                    <c:v> 66,667 </c:v>
                  </c:pt>
                  <c:pt idx="1011">
                    <c:v> 66,667 </c:v>
                  </c:pt>
                  <c:pt idx="1012">
                    <c:v> 14,000 </c:v>
                  </c:pt>
                  <c:pt idx="1013">
                    <c:v> 18,000 </c:v>
                  </c:pt>
                  <c:pt idx="1014">
                    <c:v> 17,500 </c:v>
                  </c:pt>
                  <c:pt idx="1015">
                    <c:v> 800,000 </c:v>
                  </c:pt>
                  <c:pt idx="1016">
                    <c:v> 101,500 </c:v>
                  </c:pt>
                  <c:pt idx="1017">
                    <c:v> 1,758,000 </c:v>
                  </c:pt>
                  <c:pt idx="1018">
                    <c:v> 40,000 </c:v>
                  </c:pt>
                  <c:pt idx="1019">
                    <c:v> 120,000 </c:v>
                  </c:pt>
                  <c:pt idx="1020">
                    <c:v> 2,500 </c:v>
                  </c:pt>
                  <c:pt idx="1021">
                    <c:v> 8,000 </c:v>
                  </c:pt>
                  <c:pt idx="1022">
                    <c:v> 20,000 </c:v>
                  </c:pt>
                  <c:pt idx="1023">
                    <c:v> 4,000 </c:v>
                  </c:pt>
                  <c:pt idx="1024">
                    <c:v> 20,000 </c:v>
                  </c:pt>
                  <c:pt idx="1025">
                    <c:v> 214,500 </c:v>
                  </c:pt>
                  <c:pt idx="1026">
                    <c:v> 40,000 </c:v>
                  </c:pt>
                  <c:pt idx="1027">
                    <c:v> 40,000 </c:v>
                  </c:pt>
                  <c:pt idx="1028">
                    <c:v> 200,000 </c:v>
                  </c:pt>
                  <c:pt idx="1029">
                    <c:v> 3,000 </c:v>
                  </c:pt>
                  <c:pt idx="1030">
                    <c:v> 12,000 </c:v>
                  </c:pt>
                  <c:pt idx="1031">
                    <c:v> 20,000 </c:v>
                  </c:pt>
                  <c:pt idx="1032">
                    <c:v> 4,000 </c:v>
                  </c:pt>
                  <c:pt idx="1033">
                    <c:v> 30,000 </c:v>
                  </c:pt>
                  <c:pt idx="1034">
                    <c:v> 349,000 </c:v>
                  </c:pt>
                  <c:pt idx="1035">
                    <c:v> 80,000 </c:v>
                  </c:pt>
                  <c:pt idx="1036">
                    <c:v> 8,000 </c:v>
                  </c:pt>
                  <c:pt idx="1037">
                    <c:v> 240,000 </c:v>
                  </c:pt>
                  <c:pt idx="1038">
                    <c:v> 3,500 </c:v>
                  </c:pt>
                  <c:pt idx="1039">
                    <c:v> 12,000 </c:v>
                  </c:pt>
                  <c:pt idx="1040">
                    <c:v> 60,000 </c:v>
                  </c:pt>
                  <c:pt idx="1041">
                    <c:v> 30,000 </c:v>
                  </c:pt>
                  <c:pt idx="1042">
                    <c:v> 433,500 </c:v>
                  </c:pt>
                  <c:pt idx="1043">
                    <c:v> 60,000 </c:v>
                  </c:pt>
                  <c:pt idx="1044">
                    <c:v> 4,000 </c:v>
                  </c:pt>
                  <c:pt idx="1045">
                    <c:v> 26,667 </c:v>
                  </c:pt>
                  <c:pt idx="1046">
                    <c:v> 240,000 </c:v>
                  </c:pt>
                  <c:pt idx="1047">
                    <c:v> 3,000 </c:v>
                  </c:pt>
                  <c:pt idx="1048">
                    <c:v> 12,000 </c:v>
                  </c:pt>
                  <c:pt idx="1049">
                    <c:v> 20,000 </c:v>
                  </c:pt>
                  <c:pt idx="1050">
                    <c:v> 30,000 </c:v>
                  </c:pt>
                  <c:pt idx="1051">
                    <c:v> 395,667 </c:v>
                  </c:pt>
                  <c:pt idx="1052">
                    <c:v> 60,000 </c:v>
                  </c:pt>
                  <c:pt idx="1053">
                    <c:v> 200,000 </c:v>
                  </c:pt>
                  <c:pt idx="1054">
                    <c:v> 3,500 </c:v>
                  </c:pt>
                  <c:pt idx="1055">
                    <c:v> 12,000 </c:v>
                  </c:pt>
                  <c:pt idx="1056">
                    <c:v> 20,000 </c:v>
                  </c:pt>
                  <c:pt idx="1057">
                    <c:v> 4,000 </c:v>
                  </c:pt>
                  <c:pt idx="1058">
                    <c:v> 30,000 </c:v>
                  </c:pt>
                  <c:pt idx="1059">
                    <c:v> 329,500 </c:v>
                  </c:pt>
                  <c:pt idx="1060">
                    <c:v> 100,000 </c:v>
                  </c:pt>
                  <c:pt idx="1061">
                    <c:v> 240,000 </c:v>
                  </c:pt>
                  <c:pt idx="1062">
                    <c:v> 3,000 </c:v>
                  </c:pt>
                  <c:pt idx="1063">
                    <c:v> 12,000 </c:v>
                  </c:pt>
                  <c:pt idx="1064">
                    <c:v> 24,000 </c:v>
                  </c:pt>
                  <c:pt idx="1065">
                    <c:v> 8,000 </c:v>
                  </c:pt>
                  <c:pt idx="1066">
                    <c:v> 30,000 </c:v>
                  </c:pt>
                  <c:pt idx="1067">
                    <c:v> 417,000 </c:v>
                  </c:pt>
                  <c:pt idx="1068">
                    <c:v> 80,000 </c:v>
                  </c:pt>
                  <c:pt idx="1069">
                    <c:v> 240,000 </c:v>
                  </c:pt>
                  <c:pt idx="1070">
                    <c:v> 3,000 </c:v>
                  </c:pt>
                  <c:pt idx="1071">
                    <c:v> 12,000 </c:v>
                  </c:pt>
                  <c:pt idx="1072">
                    <c:v> 20,000 </c:v>
                  </c:pt>
                  <c:pt idx="1073">
                    <c:v> 4,000 </c:v>
                  </c:pt>
                  <c:pt idx="1074">
                    <c:v> 30,000 </c:v>
                  </c:pt>
                  <c:pt idx="1075">
                    <c:v> 389,000 </c:v>
                  </c:pt>
                  <c:pt idx="1076">
                    <c:v> 150,000 </c:v>
                  </c:pt>
                  <c:pt idx="1077">
                    <c:v> 200,000 </c:v>
                  </c:pt>
                  <c:pt idx="1078">
                    <c:v> 3,000 </c:v>
                  </c:pt>
                  <c:pt idx="1079">
                    <c:v> 12,000 </c:v>
                  </c:pt>
                  <c:pt idx="1080">
                    <c:v> 20,000 </c:v>
                  </c:pt>
                  <c:pt idx="1081">
                    <c:v> 8,000 </c:v>
                  </c:pt>
                  <c:pt idx="1082">
                    <c:v> 30,000 </c:v>
                  </c:pt>
                  <c:pt idx="1083">
                    <c:v> 423,000 </c:v>
                  </c:pt>
                  <c:pt idx="1084">
                    <c:v> 140,000 </c:v>
                  </c:pt>
                  <c:pt idx="1085">
                    <c:v> 8,000 </c:v>
                  </c:pt>
                  <c:pt idx="1086">
                    <c:v> 240,000 </c:v>
                  </c:pt>
                  <c:pt idx="1087">
                    <c:v> 3,000 </c:v>
                  </c:pt>
                  <c:pt idx="1088">
                    <c:v> 12,000 </c:v>
                  </c:pt>
                  <c:pt idx="1089">
                    <c:v> 40,000 </c:v>
                  </c:pt>
                  <c:pt idx="1090">
                    <c:v> 30,000 </c:v>
                  </c:pt>
                  <c:pt idx="1091">
                    <c:v> 473,000 </c:v>
                  </c:pt>
                  <c:pt idx="1092">
                    <c:v> 40,000 </c:v>
                  </c:pt>
                  <c:pt idx="1093">
                    <c:v> 80,000 </c:v>
                  </c:pt>
                  <c:pt idx="1094">
                    <c:v> 4,000 </c:v>
                  </c:pt>
                  <c:pt idx="1095">
                    <c:v> 3,000 </c:v>
                  </c:pt>
                  <c:pt idx="1096">
                    <c:v> 8,000 </c:v>
                  </c:pt>
                  <c:pt idx="1097">
                    <c:v> 30,000 </c:v>
                  </c:pt>
                  <c:pt idx="1098">
                    <c:v> 165,000 </c:v>
                  </c:pt>
                  <c:pt idx="1099">
                    <c:v> 80,000 </c:v>
                  </c:pt>
                  <c:pt idx="1100">
                    <c:v> 4,000 </c:v>
                  </c:pt>
                  <c:pt idx="1101">
                    <c:v> 240,000 </c:v>
                  </c:pt>
                  <c:pt idx="1102">
                    <c:v> 3,000 </c:v>
                  </c:pt>
                  <c:pt idx="1103">
                    <c:v> 9,600 </c:v>
                  </c:pt>
                  <c:pt idx="1104">
                    <c:v> 20,000 </c:v>
                  </c:pt>
                  <c:pt idx="1105">
                    <c:v> 30,000 </c:v>
                  </c:pt>
                  <c:pt idx="1106">
                    <c:v> 386,600 </c:v>
                  </c:pt>
                  <c:pt idx="1107">
                    <c:v> 70,000 </c:v>
                  </c:pt>
                  <c:pt idx="1108">
                    <c:v> 4,000 </c:v>
                  </c:pt>
                  <c:pt idx="1109">
                    <c:v> 200,000 </c:v>
                  </c:pt>
                  <c:pt idx="1110">
                    <c:v> 3,400 </c:v>
                  </c:pt>
                  <c:pt idx="1111">
                    <c:v> 9,600 </c:v>
                  </c:pt>
                  <c:pt idx="1112">
                    <c:v> 20,000 </c:v>
                  </c:pt>
                  <c:pt idx="1113">
                    <c:v> 30,000 </c:v>
                  </c:pt>
                  <c:pt idx="1114">
                    <c:v> 337,000 </c:v>
                  </c:pt>
                  <c:pt idx="1115">
                    <c:v> 26,601,968 </c:v>
                  </c:pt>
                  <c:pt idx="1117">
                    <c:v>ارزش مجموعی</c:v>
                  </c:pt>
                  <c:pt idx="1118">
                    <c:v> 288,000 </c:v>
                  </c:pt>
                  <c:pt idx="1119">
                    <c:v> 720,000 </c:v>
                  </c:pt>
                  <c:pt idx="1120">
                    <c:v> 2,500,000 </c:v>
                  </c:pt>
                  <c:pt idx="1121">
                    <c:v> 2,147,680 </c:v>
                  </c:pt>
                  <c:pt idx="1122">
                    <c:v> 5,655,680 </c:v>
                  </c:pt>
                  <c:pt idx="1123">
                    <c:v>ارزش مجموعی</c:v>
                  </c:pt>
                  <c:pt idx="1124">
                    <c:v> 108,000 </c:v>
                  </c:pt>
                  <c:pt idx="1125">
                    <c:v> 1,080,000 </c:v>
                  </c:pt>
                  <c:pt idx="1126">
                    <c:v> 1,188,000 </c:v>
                  </c:pt>
                  <c:pt idx="1127">
                    <c:v>قیمت</c:v>
                  </c:pt>
                  <c:pt idx="1128">
                    <c:v> 984,420 </c:v>
                  </c:pt>
                  <c:pt idx="1129">
                    <c:v> 984,420 </c:v>
                  </c:pt>
                  <c:pt idx="1130">
                    <c:v> 7,828,100 </c:v>
                  </c:pt>
                  <c:pt idx="1132">
                    <c:v> 1,248,000 </c:v>
                  </c:pt>
                  <c:pt idx="1133">
                    <c:v> 1,083,110 </c:v>
                  </c:pt>
                  <c:pt idx="1134">
                    <c:v> 2,331,110 </c:v>
                  </c:pt>
                  <c:pt idx="1136">
                    <c:v>تاریخ آغاز</c:v>
                  </c:pt>
                  <c:pt idx="1137">
                    <c:v>1/10/1396</c:v>
                  </c:pt>
                  <c:pt idx="1138">
                    <c:v>1/10/1396</c:v>
                  </c:pt>
                  <c:pt idx="1139">
                    <c:v>1/10/1396</c:v>
                  </c:pt>
                  <c:pt idx="1140">
                    <c:v>1/10/1396</c:v>
                  </c:pt>
                  <c:pt idx="1141">
                    <c:v>1/10/1396</c:v>
                  </c:pt>
                  <c:pt idx="1142">
                    <c:v>1/10/1397</c:v>
                  </c:pt>
                </c:lvl>
                <c:lvl>
                  <c:pt idx="2">
                    <c:v>محصول</c:v>
                  </c:pt>
                  <c:pt idx="4">
                    <c:v>احیای 40 هکتار جنگلات پسته با بذر للمی و قروغ نمودن به کمک 8 پروژه عایداتی </c:v>
                  </c:pt>
                  <c:pt idx="5">
                    <c:v>خریداری تخم پسته برای بذر للمی </c:v>
                  </c:pt>
                  <c:pt idx="6">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8">
                    <c:v>محصول</c:v>
                  </c:pt>
                  <c:pt idx="9">
                    <c:v>احیای 50 هکتار جنگلات پسته با بذر للمی و قروغ نمودن به کمک 26 پروژه عایداتی.</c:v>
                  </c:pt>
                  <c:pt idx="10">
                    <c:v>خریداری تخم پسته برای بذر للمی </c:v>
                  </c:pt>
                  <c:pt idx="11">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13">
                    <c:v>محصول</c:v>
                  </c:pt>
                  <c:pt idx="14">
                    <c:v>احیای 20 هکتار جنگلات پسته با بذر للمی و قروغ نمودن به کمک 4 پروژه عایداتی.</c:v>
                  </c:pt>
                  <c:pt idx="15">
                    <c:v>خریداری تخم پسته برای بذر للمی </c:v>
                  </c:pt>
                  <c:pt idx="16">
                    <c:v>تنظیم ابریزه با اعمار 200متر مکعب چکدم و ابگردان از سنگ و مواد محلی در یکی ساحاتیکه تحت خطر سیلاب شدید قرار دارد یا ساحه که احیا میگردد. </c:v>
                  </c:pt>
                  <c:pt idx="1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19">
                    <c:v>محصول</c:v>
                  </c:pt>
                  <c:pt idx="20">
                    <c:v>احیای 20 هکتار جنگلات پسته با بذر للمی و قروغ نمودن به کمک 4 پروژه عایداتی.</c:v>
                  </c:pt>
                  <c:pt idx="21">
                    <c:v>تهیه و خریداری تخم پسته برای بذر </c:v>
                  </c:pt>
                  <c:pt idx="2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24">
                    <c:v>محصول</c:v>
                  </c:pt>
                  <c:pt idx="25">
                    <c:v>احیای 30 هکتار جنگلات پسته با بذر للمی و قروغ نمودن به کمک6 پروژه عایداتی.</c:v>
                  </c:pt>
                  <c:pt idx="26">
                    <c:v>تهیه و خریداری تخم پسته برای بذر </c:v>
                  </c:pt>
                  <c:pt idx="2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29">
                    <c:v>محصول</c:v>
                  </c:pt>
                  <c:pt idx="30">
                    <c:v>استخدام 2 نفر محافظ غرض حفاظت 10000 خریطه پلاستیکی از سال 1395</c:v>
                  </c:pt>
                  <c:pt idx="31">
                    <c:v>جالی با ملحفات آن برای تهیه سایه بان برای نوجست های جلغوزه </c:v>
                  </c:pt>
                  <c:pt idx="33">
                    <c:v>محصول</c:v>
                  </c:pt>
                  <c:pt idx="34">
                    <c:v>استخدام 1 نفر محافظ غرض حفاظت 10000 خریطه پلاستیکی از سال 1395</c:v>
                  </c:pt>
                  <c:pt idx="35">
                    <c:v>جالی با ملحفات آن برای تهیه سایه بان برای نوجست های جلغوزه </c:v>
                  </c:pt>
                  <c:pt idx="37">
                    <c:v>محصول</c:v>
                  </c:pt>
                  <c:pt idx="38">
                    <c:v>استخدام 1 نفر محافظ غرض حفاظت 10000 خریطه پلاستیکی از سال 1395</c:v>
                  </c:pt>
                  <c:pt idx="39">
                    <c:v>جالی با ملحفات آن برای تهیه سایه بان برای نوجست های جلغوزه </c:v>
                  </c:pt>
                  <c:pt idx="41">
                    <c:v>محصول</c:v>
                  </c:pt>
                  <c:pt idx="42">
                    <c:v>احیای و حفاظت 50 هکتار جلغوزه با بذر للمی به کمک 10 پروژه عایداتی.</c:v>
                  </c:pt>
                  <c:pt idx="43">
                    <c:v>خریداری تخم جلغوزه برای بذر مستقیم </c:v>
                  </c:pt>
                  <c:pt idx="44">
                    <c:v>تنظیم ابریزه ها با اعمار 200چکدم با مواد محلی در جای که خطر سیلاب متصور است.</c:v>
                  </c:pt>
                  <c:pt idx="45">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47">
                    <c:v>محصول</c:v>
                  </c:pt>
                  <c:pt idx="48">
                    <c:v>بذر للم و حفاظت ساحه 90 هکتار جنگلات طبیعی تخریب شده لمنز، نشتر، به کمک پروژه های عایداتی ( هر پروژه عایداتی برای 5 هکتار ساحه تخریب شده جدید و یک نفر محافظ) </c:v>
                  </c:pt>
                  <c:pt idx="49">
                    <c:v>خریداری تخم نشتر، لمنز، بلوط و اغور اسکی برای بذر للمی.</c:v>
                  </c:pt>
                  <c:pt idx="50">
                    <c:v>خریداری تخم چارمغز با کیفیت که قابلیت جوانه زدن را داشته باشد.</c:v>
                  </c:pt>
                  <c:pt idx="51">
                    <c:v>اعمار چکدم غرض حفاظت آب و خاک </c:v>
                  </c:pt>
                  <c:pt idx="5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54">
                    <c:v>محصول</c:v>
                  </c:pt>
                  <c:pt idx="55">
                    <c:v>احیای 20 هکتار بذر للمی بادام کوهی به کمک 4 پروژه عایداتی ( هر پروژه عایداتی برای یک نفر کارگر محافظ و 5 هکتار) </c:v>
                  </c:pt>
                  <c:pt idx="56">
                    <c:v>تهیه و خریداری تخم  بادام کوهی </c:v>
                  </c:pt>
                  <c:pt idx="57">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59">
                    <c:v>محصول</c:v>
                  </c:pt>
                  <c:pt idx="60">
                    <c:v>احیای 30 هکتار بذر للمی بادام کوهی به کمک 6 پروژه عایداتی ( هر پروژه عایداتی برای یک نفر کارگر محافظ و 5 هکتار) </c:v>
                  </c:pt>
                  <c:pt idx="61">
                    <c:v>تهیه و خریداری تخم پسته.</c:v>
                  </c:pt>
                  <c:pt idx="62">
                    <c:v>کرایه موتر غرض نظارت از ساحه و راپور دهی معه تصاویر، بازنگری انجمن ها، آموزش آنها در تهیه پلان مدیریتی ساحه ، قانون جنگلات و شناسائی ساحات جدید برای تطبیق فعالیت های احیای جنگلات.</c:v>
                  </c:pt>
                  <c:pt idx="64">
                    <c:v>محصول</c:v>
                  </c:pt>
                  <c:pt idx="65">
                    <c:v>استخدام 2 نفر متخصص در بخش ارتقای ظرفیت انجمن ها</c:v>
                  </c:pt>
                  <c:pt idx="66">
                    <c:v>سفریه و کرایه تیم فنی غرض سفر به ولایات غرض نظارت از امور پروژه ها.</c:v>
                  </c:pt>
                  <c:pt idx="70">
                    <c:v>فعالیت ها </c:v>
                  </c:pt>
                  <c:pt idx="72">
                    <c:v>شناسایی انجمن علفچر ونباتات طبی </c:v>
                  </c:pt>
                  <c:pt idx="73">
                    <c:v>تدویرورکشاپ اموزشهای تخنیکی وپلان سازی برای اعضای انجمن </c:v>
                  </c:pt>
                  <c:pt idx="74">
                    <c:v>احیایی علفچر طبیعی توسط قروغ ، تناوب چرا ، تنظیم حیوانات مواشی درساحه حصار شده 1396توسط انجمن </c:v>
                  </c:pt>
                  <c:pt idx="75">
                    <c:v>احیاء  علفچرتوسط بذر تخم علوفه </c:v>
                  </c:pt>
                  <c:pt idx="76">
                    <c:v>تهیه تخم علوفه برای موازی 60 هکتار فی هکتار 5 کیلوگرام </c:v>
                  </c:pt>
                  <c:pt idx="77">
                    <c:v>بذرپاشی و زیرخاک نمودن تخم علفوفه درساحات تخریب شده علفچر</c:v>
                  </c:pt>
                  <c:pt idx="78">
                    <c:v>احیاء نباتات طبی هنگ </c:v>
                  </c:pt>
                  <c:pt idx="79">
                    <c:v>حفر و اصلاح چاله ،نرم کاری خاک وبذرتخم هنگ </c:v>
                  </c:pt>
                  <c:pt idx="80">
                    <c:v>ابیاری توسط اب پاش </c:v>
                  </c:pt>
                  <c:pt idx="81">
                    <c:v>خریداری تخم هنگ </c:v>
                  </c:pt>
                  <c:pt idx="82">
                    <c:v>خریداری اب پاش </c:v>
                  </c:pt>
                  <c:pt idx="83">
                    <c:v>تهیه اب </c:v>
                  </c:pt>
                  <c:pt idx="84">
                    <c:v>مصارف اموزش انجمنها و نظارت از فعالیت های تطبیق شده پروژه </c:v>
                  </c:pt>
                  <c:pt idx="86">
                    <c:v>محصول</c:v>
                  </c:pt>
                  <c:pt idx="87">
                    <c:v>احیایی علفچر طبیعی توسط قروغ ، تناوب چرا ، تنظیم حیوانات مواشی درساحه حصار شده 1396توسط انجمن </c:v>
                  </c:pt>
                  <c:pt idx="88">
                    <c:v>استخدام کارمند فنی برای 9 ماه</c:v>
                  </c:pt>
                  <c:pt idx="89">
                    <c:v>استخدام  نگران برای 12ماه</c:v>
                  </c:pt>
                  <c:pt idx="90">
                    <c:v>تثبیت ریگ های روان </c:v>
                  </c:pt>
                  <c:pt idx="91">
                    <c:v>تهیه قلمه گز، تاغ وسکساول </c:v>
                  </c:pt>
                  <c:pt idx="92">
                    <c:v>غرس قلمه گز، تاغ وسکساول</c:v>
                  </c:pt>
                  <c:pt idx="93">
                    <c:v>کشیدن نهال ازمرکزارایه خدمات تنظیم علفچر</c:v>
                  </c:pt>
                  <c:pt idx="94">
                    <c:v>تهیه یکعراد ه زرنج برای انتقال قلمه و نهال ریشه گز، تاغ وسکساول درساحه </c:v>
                  </c:pt>
                  <c:pt idx="95">
                    <c:v>حفرچقرک برای غرس نهال ریشه </c:v>
                  </c:pt>
                  <c:pt idx="96">
                    <c:v>غرس نهال ریشه گز، تاغ وسکساول </c:v>
                  </c:pt>
                  <c:pt idx="97">
                    <c:v>تهیه آب برای آبیاری نهال بک مرتبه </c:v>
                  </c:pt>
                  <c:pt idx="98">
                    <c:v>آبیاری نهال های غرس شده یک مرتبه </c:v>
                  </c:pt>
                  <c:pt idx="99">
                    <c:v>آماده ساختن موازی 20 جریب زمین برای بذر تخم علوفه وغرس قلمه گز ، تاغ وسکساول درمرکزارایه خدمات تنظیم علفجر </c:v>
                  </c:pt>
                  <c:pt idx="100">
                    <c:v>تهیه تخم علوفه اگروپایرون</c:v>
                  </c:pt>
                  <c:pt idx="101">
                    <c:v>بذرتخم علوفه در قطار ( فاصله بین قطار 50 سانتی )</c:v>
                  </c:pt>
                  <c:pt idx="102">
                    <c:v>تهیه کود وسیاه وسفید </c:v>
                  </c:pt>
                  <c:pt idx="103">
                    <c:v>کارگر برای خیشاوه نمودن یک مراتبه </c:v>
                  </c:pt>
                  <c:pt idx="104">
                    <c:v>کارگر آبیاری و درو نمودن برای مدت 8 ماه </c:v>
                  </c:pt>
                  <c:pt idx="105">
                    <c:v>احیاء نباتات طبی هنگ </c:v>
                  </c:pt>
                  <c:pt idx="106">
                    <c:v>حفر و اصلاح چاله ،نرم کاری خاک وبذرتخم هنگ </c:v>
                  </c:pt>
                  <c:pt idx="107">
                    <c:v>ابیار توسط اب پاش </c:v>
                  </c:pt>
                  <c:pt idx="108">
                    <c:v>خریداری تخم هنگ </c:v>
                  </c:pt>
                  <c:pt idx="109">
                    <c:v>خریداری اب پاش </c:v>
                  </c:pt>
                  <c:pt idx="110">
                    <c:v>تهیه اب </c:v>
                  </c:pt>
                  <c:pt idx="111">
                    <c:v>تهیه روغنیات برای زرنج و واترپمپ</c:v>
                  </c:pt>
                  <c:pt idx="112">
                    <c:v>مصارف اموزش انجمنها و نظارت از فعالیت های تطبیق شده پروژه </c:v>
                  </c:pt>
                  <c:pt idx="114">
                    <c:v>محصول</c:v>
                  </c:pt>
                  <c:pt idx="115">
                    <c:v>شناسایی انجمن علفچر ونباتات طبی </c:v>
                  </c:pt>
                  <c:pt idx="116">
                    <c:v>تدویرورکشاپ اموزشهای تخنیکی وپلان سازی برای اعضای انجمن </c:v>
                  </c:pt>
                  <c:pt idx="117">
                    <c:v>احیایی علفچر طبیعی توسط قروغ ، تناوب چرا ، تنظیم حیوانات مواشی درساحه حصار شده 1396توسط انجمن </c:v>
                  </c:pt>
                  <c:pt idx="118">
                    <c:v>احیاء علفچراز طریق بذر تخم رشقه للمی </c:v>
                  </c:pt>
                  <c:pt idx="119">
                    <c:v>تهیه تخم رشقه للمی </c:v>
                  </c:pt>
                  <c:pt idx="120">
                    <c:v>بذرتخم رشقه للمی وزیر خاک نمودن </c:v>
                  </c:pt>
                  <c:pt idx="121">
                    <c:v>احیاء نباتات طبی هنگ </c:v>
                  </c:pt>
                  <c:pt idx="122">
                    <c:v>حفرواصلاح چاله ،نرم کاری خاک وبذرتخم هنگ </c:v>
                  </c:pt>
                  <c:pt idx="123">
                    <c:v>ابیاری توسط اب پاش </c:v>
                  </c:pt>
                  <c:pt idx="124">
                    <c:v>خریداری تخم هنگ </c:v>
                  </c:pt>
                  <c:pt idx="125">
                    <c:v>خریداری اب پاش </c:v>
                  </c:pt>
                  <c:pt idx="126">
                    <c:v>تهیه اب </c:v>
                  </c:pt>
                  <c:pt idx="127">
                    <c:v>مصارف اموزش انجمنها و نظارت از فعالیت های تطبیق شده پروژه </c:v>
                  </c:pt>
                  <c:pt idx="129">
                    <c:v>محصول</c:v>
                  </c:pt>
                  <c:pt idx="130">
                    <c:v>استخدام  نگران برای 12 ماه</c:v>
                  </c:pt>
                  <c:pt idx="131">
                    <c:v>تثبیت ریگ های روان </c:v>
                  </c:pt>
                  <c:pt idx="132">
                    <c:v>تهیه قلمه گز، تاغ وسکساول </c:v>
                  </c:pt>
                  <c:pt idx="133">
                    <c:v>غرس قلمه گز، تاغ وسکساول</c:v>
                  </c:pt>
                  <c:pt idx="134">
                    <c:v>کشیدن نهال ازمرکزارایه خدمات تنظیم علفچر</c:v>
                  </c:pt>
                  <c:pt idx="135">
                    <c:v>تهیه یکعراد ه زرنج برای انتقال قلمه و نهال ریشه گز، تاغ وسکساول درساحه </c:v>
                  </c:pt>
                  <c:pt idx="136">
                    <c:v>حفرچقرک برای غرس نهال ریشه </c:v>
                  </c:pt>
                  <c:pt idx="137">
                    <c:v>غرس نهال ریشه گز، تاغ وسکساول </c:v>
                  </c:pt>
                  <c:pt idx="138">
                    <c:v>تهیه آب برای آبیاری نهال بک مرتبه </c:v>
                  </c:pt>
                  <c:pt idx="139">
                    <c:v>آبیاری نهال های غرس شده یک مرتبه </c:v>
                  </c:pt>
                  <c:pt idx="140">
                    <c:v>آماده ساختن زمین برای بذر تخم علوفه وغرس قلمه گز</c:v>
                  </c:pt>
                  <c:pt idx="141">
                    <c:v>تهیه تخم علوفه اگروپایرون</c:v>
                  </c:pt>
                  <c:pt idx="142">
                    <c:v>بذرتخم علوفه در قطار ( فاصله بین قطار 50 سانتی )</c:v>
                  </c:pt>
                  <c:pt idx="143">
                    <c:v>تهیه کود وسیاه وسفید </c:v>
                  </c:pt>
                  <c:pt idx="144">
                    <c:v>کارگر برای خیشاوه نمودن برای یک مراتبه</c:v>
                  </c:pt>
                  <c:pt idx="145">
                    <c:v>کارگر آبیاری و درو نمودن برای مدت 8 ماه </c:v>
                  </c:pt>
                  <c:pt idx="146">
                    <c:v>احیاء نباتات طبی شیرین بویه</c:v>
                  </c:pt>
                  <c:pt idx="147">
                    <c:v>حفرواصلاح چاله ،نرم کاری خاک وغرس قلمه شیرین بویه </c:v>
                  </c:pt>
                  <c:pt idx="148">
                    <c:v>تهیه قلمه ریشه شیرین بویه ، توسط کارگران محلی </c:v>
                  </c:pt>
                  <c:pt idx="149">
                    <c:v>ابیاری توسط اب پاش </c:v>
                  </c:pt>
                  <c:pt idx="150">
                    <c:v>خریداری قیجی شاخه بری فیلکو</c:v>
                  </c:pt>
                  <c:pt idx="151">
                    <c:v>خریداری اب پاش </c:v>
                  </c:pt>
                  <c:pt idx="152">
                    <c:v>تهیه اب </c:v>
                  </c:pt>
                  <c:pt idx="153">
                    <c:v>کرایه انتقال قلمه ریشه شرین بویه </c:v>
                  </c:pt>
                  <c:pt idx="154">
                    <c:v>خریداری روغنیات زرنج  </c:v>
                  </c:pt>
                  <c:pt idx="155">
                    <c:v>مصارف اموزش انجمنها و نظارت از فعالیت های تطبیق شده پروژه </c:v>
                  </c:pt>
                  <c:pt idx="157">
                    <c:v>محصول</c:v>
                  </c:pt>
                  <c:pt idx="158">
                    <c:v>شناسایی انجمن علفچر ونباتات طبی </c:v>
                  </c:pt>
                  <c:pt idx="159">
                    <c:v>تدویرورکشاپ اموزشهای تخنیکی وپلان سازی برای اعضای انجمن </c:v>
                  </c:pt>
                  <c:pt idx="160">
                    <c:v>احیایی علفچر طبیعی توسط قروغ ، تناوب چرا ، تنظیم حیوانات مواشی درساحه حصار شده 1396توسط انجمن </c:v>
                  </c:pt>
                  <c:pt idx="161">
                    <c:v>احیاء علفچراز طریق بذر تخم رشقه للمی </c:v>
                  </c:pt>
                  <c:pt idx="162">
                    <c:v>تهیه تخم رشقه للمی </c:v>
                  </c:pt>
                  <c:pt idx="163">
                    <c:v>بذرتخم رشقه للمی </c:v>
                  </c:pt>
                  <c:pt idx="164">
                    <c:v>احیاء نباتات طبی هنگ </c:v>
                  </c:pt>
                  <c:pt idx="165">
                    <c:v>حفرواصلاح چاله ،نرم کاری خاک وبذرتخم هنگ </c:v>
                  </c:pt>
                  <c:pt idx="166">
                    <c:v>ابیاری توسط اب پاش </c:v>
                  </c:pt>
                  <c:pt idx="167">
                    <c:v>خریداری تخم هنگ </c:v>
                  </c:pt>
                  <c:pt idx="168">
                    <c:v>خریداری اب پاش </c:v>
                  </c:pt>
                  <c:pt idx="169">
                    <c:v>تهیه اب </c:v>
                  </c:pt>
                  <c:pt idx="170">
                    <c:v>مصارف اموزش انجمنها و نظارت از فعالیت های تطبیق شده پروژه </c:v>
                  </c:pt>
                  <c:pt idx="172">
                    <c:v>محصول</c:v>
                  </c:pt>
                  <c:pt idx="173">
                    <c:v>احیایی علفچر طبیعی توسط قروغ ، تناوب چرا ، تنظیم حیوانات مواشی درساحه حصار شده 1396توسط انجمن </c:v>
                  </c:pt>
                  <c:pt idx="174">
                    <c:v>استخدام کارمند فنی برای 9 ماه</c:v>
                  </c:pt>
                  <c:pt idx="175">
                    <c:v>استخدام  نگران برای 12 ماه</c:v>
                  </c:pt>
                  <c:pt idx="176">
                    <c:v>کارگر برای خیشاوه نمودن برای 1 مراتبه</c:v>
                  </c:pt>
                  <c:pt idx="177">
                    <c:v>کارگر آبیاری و درو نمودن برای مدت 8 ماه </c:v>
                  </c:pt>
                  <c:pt idx="178">
                    <c:v>مصارف اموزش انجمنها و نظارت از فعالیت های تطبیق شده پروژه </c:v>
                  </c:pt>
                  <c:pt idx="180">
                    <c:v>محصول</c:v>
                  </c:pt>
                  <c:pt idx="181">
                    <c:v>احیایی علفچر طبیعی توسط قروغ ، تناوب چرا ، تنظیم حیوانات مواشی درساحه حصار شده 1396توسط انجمن </c:v>
                  </c:pt>
                  <c:pt idx="182">
                    <c:v>استخدام  نگران برای 12ماه</c:v>
                  </c:pt>
                  <c:pt idx="183">
                    <c:v>کارگر آبیاری و درو نمودن برای مدت 8 ماه </c:v>
                  </c:pt>
                  <c:pt idx="184">
                    <c:v>کارگر برای خیشاوه نمودن برای یک  مراتبه</c:v>
                  </c:pt>
                  <c:pt idx="185">
                    <c:v>مصارف اموزش انجمنها و نظارت از فعالیت های تطبیق شده پروژه </c:v>
                  </c:pt>
                  <c:pt idx="187">
                    <c:v>محصول</c:v>
                  </c:pt>
                  <c:pt idx="188">
                    <c:v>استخدام کارمند فنی برای 9 ماه</c:v>
                  </c:pt>
                  <c:pt idx="189">
                    <c:v>استخدام  نگران برای 12ماه</c:v>
                  </c:pt>
                  <c:pt idx="190">
                    <c:v>شناسایی انجمن علفچر ونباتات طبی </c:v>
                  </c:pt>
                  <c:pt idx="191">
                    <c:v>تدویرورکشاپ اموزشهای تخنیکی وپلان سازی برای اعضای انجمن </c:v>
                  </c:pt>
                  <c:pt idx="192">
                    <c:v>تثبیت ریگ های روان </c:v>
                  </c:pt>
                  <c:pt idx="193">
                    <c:v>تهیه قلمه گز، تاغ وسکساول </c:v>
                  </c:pt>
                  <c:pt idx="194">
                    <c:v>غرس قلمه گز، تاغ وسکساول</c:v>
                  </c:pt>
                  <c:pt idx="195">
                    <c:v>کشیدن نهال ازمرکزارایه خدمات تنظیم علفچر</c:v>
                  </c:pt>
                  <c:pt idx="196">
                    <c:v>تهیه یکعراد ه زرنج برای انتقال قلمه و نهال ریشه گز، تاغ وسکساول درساحه </c:v>
                  </c:pt>
                  <c:pt idx="197">
                    <c:v>حفرچقرک برای غرس نهال ریشه </c:v>
                  </c:pt>
                  <c:pt idx="198">
                    <c:v>غرس نهال ریشه گز، تاغ وسکساول </c:v>
                  </c:pt>
                  <c:pt idx="199">
                    <c:v>تهیه آب برای آبیاری نهال یک مرتبه </c:v>
                  </c:pt>
                  <c:pt idx="200">
                    <c:v>آبیاری نهال های غرس شده یک مرتبه </c:v>
                  </c:pt>
                  <c:pt idx="201">
                    <c:v>آماده ساختن زمین برای بذر تخم علوفه وغرس قلمه گز</c:v>
                  </c:pt>
                  <c:pt idx="202">
                    <c:v>تهیه تخم علوفه اگروپایرون</c:v>
                  </c:pt>
                  <c:pt idx="203">
                    <c:v>بذرتخم علوفه در قطار ( فاصله بین قطار 50 سانتی )</c:v>
                  </c:pt>
                  <c:pt idx="204">
                    <c:v>تهیه کود وسیاه وسفید </c:v>
                  </c:pt>
                  <c:pt idx="205">
                    <c:v>کارگر برای خیشاوه نمودن برای 1  مراتبه</c:v>
                  </c:pt>
                  <c:pt idx="206">
                    <c:v>کارگر آبیاری و درو نمودن برای مدت 8 ماه </c:v>
                  </c:pt>
                  <c:pt idx="207">
                    <c:v>احیا وحفاظت نبات طبی هنگ</c:v>
                  </c:pt>
                  <c:pt idx="208">
                    <c:v>حفرو اصلاح چاله ، نرم کاری خاک ، وبذرتخم هنگ </c:v>
                  </c:pt>
                  <c:pt idx="209">
                    <c:v>تهیه اب </c:v>
                  </c:pt>
                  <c:pt idx="210">
                    <c:v>ابیاری توسط ابپاش</c:v>
                  </c:pt>
                  <c:pt idx="211">
                    <c:v>خریداری تخم هنگ </c:v>
                  </c:pt>
                  <c:pt idx="212">
                    <c:v>خریداری اب پاش </c:v>
                  </c:pt>
                  <c:pt idx="213">
                    <c:v>روغنیات زرنج </c:v>
                  </c:pt>
                  <c:pt idx="214">
                    <c:v>مصارف اموزش انجمنها و نظارت از فعالیت های تطبیق شده پروژه </c:v>
                  </c:pt>
                  <c:pt idx="216">
                    <c:v>محصول</c:v>
                  </c:pt>
                  <c:pt idx="217">
                    <c:v>استخدام  نگران برای 12ماه</c:v>
                  </c:pt>
                  <c:pt idx="218">
                    <c:v>احیایی علفچر طبیعی توسط قروغ ، تناوب چرا ، تنظیم حیوانات مواشی درساحه حصار شده 1396توسط انجمن </c:v>
                  </c:pt>
                  <c:pt idx="219">
                    <c:v>تثبیت ریگ های روان </c:v>
                  </c:pt>
                  <c:pt idx="220">
                    <c:v>تهیه قلمه گز، تاغ وسکساول </c:v>
                  </c:pt>
                  <c:pt idx="221">
                    <c:v>غرس قلمه گز، تاغ وسکساول</c:v>
                  </c:pt>
                  <c:pt idx="222">
                    <c:v>کشیدن نهال ازمرکزارایه خدمات تنظیم علفچر</c:v>
                  </c:pt>
                  <c:pt idx="223">
                    <c:v>تهیه یکعراد ه زرنج برای انتقال قلمه و نهال ریشه گز، تاغ وسکساول درساحه </c:v>
                  </c:pt>
                  <c:pt idx="224">
                    <c:v>حفرچقرک برای غرس نهال ریشه </c:v>
                  </c:pt>
                  <c:pt idx="225">
                    <c:v>غرس نهال ریشه گز، تاغ وسکساول </c:v>
                  </c:pt>
                  <c:pt idx="226">
                    <c:v>تهیه آب برای آبیاری نهال یک مرتبه </c:v>
                  </c:pt>
                  <c:pt idx="227">
                    <c:v>آبیاری نهال های غرس شده یک مرتبه </c:v>
                  </c:pt>
                  <c:pt idx="228">
                    <c:v>آماده ساختن زمین مراکز تکثیری برای بذر تخم علوفه وغرس قلمه</c:v>
                  </c:pt>
                  <c:pt idx="229">
                    <c:v>تهیه تخم علوفه اگروپایرون</c:v>
                  </c:pt>
                  <c:pt idx="230">
                    <c:v>بذرتخم علوفه در قطار درساحه 2 هکتارمرکزارایه خدمات تنظیم علفچر </c:v>
                  </c:pt>
                  <c:pt idx="231">
                    <c:v>تهیه کود وسیاه وسفید </c:v>
                  </c:pt>
                  <c:pt idx="232">
                    <c:v>کارگر برای خیشاوه نمودن برای 1 مراتبه</c:v>
                  </c:pt>
                  <c:pt idx="233">
                    <c:v>کارگر آبیاری و درو نمودن برای مدت 8 ماه </c:v>
                  </c:pt>
                  <c:pt idx="234">
                    <c:v>تهیه روغنیات برای زرنج</c:v>
                  </c:pt>
                  <c:pt idx="235">
                    <c:v>مصارف اموزش انجمنها و نظارت از فعالیت های تطبیق شده پروژه </c:v>
                  </c:pt>
                  <c:pt idx="237">
                    <c:v>محصول</c:v>
                  </c:pt>
                  <c:pt idx="238">
                    <c:v>شناسایی انجمن علفچر ونباتات طبی </c:v>
                  </c:pt>
                  <c:pt idx="239">
                    <c:v>تدویرورکشاپ اموزشهای تخنیکی وپلان سازی برای اعضای انجمن </c:v>
                  </c:pt>
                  <c:pt idx="240">
                    <c:v>احیاء موازی 100 هکتار علفچرتوسط بذر تخم علوفه </c:v>
                  </c:pt>
                  <c:pt idx="241">
                    <c:v>تهیه تخم علوفه برای موازی 100 هکتار فی هکتار 5 کیلوگرام </c:v>
                  </c:pt>
                  <c:pt idx="242">
                    <c:v>بذرپاشی و زیرخاک نمودن تخم علفوفه درساحات تخریب شده علفچر</c:v>
                  </c:pt>
                  <c:pt idx="243">
                    <c:v>مصارف اموزش انجمنها و نظارت از فعالیت های تطبیق شده پروژه </c:v>
                  </c:pt>
                  <c:pt idx="245">
                    <c:v>محصول</c:v>
                  </c:pt>
                  <c:pt idx="246">
                    <c:v>شناسایی انجمن علفچر ونباتات طبی </c:v>
                  </c:pt>
                  <c:pt idx="247">
                    <c:v>تدویرورکشاپ اموزشهای تخنیکی وپلان سازی برای اعضای انجمن </c:v>
                  </c:pt>
                  <c:pt idx="248">
                    <c:v>احیاء موازی 100 هکتار علفچرتوسط بذر تخم علوفه </c:v>
                  </c:pt>
                  <c:pt idx="249">
                    <c:v>تهیه تخم علوفه فی هکتار 5 کیلوگرام </c:v>
                  </c:pt>
                  <c:pt idx="250">
                    <c:v>بذرپاشی و زیرخاک نمودن تخم علفوفه درساحات تخریب شده علفچر</c:v>
                  </c:pt>
                  <c:pt idx="251">
                    <c:v>مصارف اموزش انجمنها و نظارت از فعالیت های تطبیق شده پروژه </c:v>
                  </c:pt>
                  <c:pt idx="253">
                    <c:v>محصول</c:v>
                  </c:pt>
                  <c:pt idx="254">
                    <c:v>شناسایی انجمن علفچر ونباتات طبی </c:v>
                  </c:pt>
                  <c:pt idx="255">
                    <c:v>تدویرورکشاپ اموزشهای تخنیکی وپلان سازی برای اعضای انجمن </c:v>
                  </c:pt>
                  <c:pt idx="256">
                    <c:v>احیاء موازی 100 هکتار علفچرتوسط بذر تخم علوفه </c:v>
                  </c:pt>
                  <c:pt idx="257">
                    <c:v>تهیه تخم علوفه برای موازی 100 هکتار فی هکتار 5 کیلوگرام </c:v>
                  </c:pt>
                  <c:pt idx="258">
                    <c:v>بذرپاشی و زیرخاک نمودن تخم علفوفه درساحات تخریب شده علفچر</c:v>
                  </c:pt>
                  <c:pt idx="259">
                    <c:v>مصارف اموزش انجمنها و نظارت از فعالیت های تطبیق شده پروژه </c:v>
                  </c:pt>
                  <c:pt idx="261">
                    <c:v>محصول</c:v>
                  </c:pt>
                  <c:pt idx="262">
                    <c:v>شناسایی انجمن علفچر ونباتات طبی </c:v>
                  </c:pt>
                  <c:pt idx="263">
                    <c:v>تدویرورکشاپ اموزشهای تخنیکی وپلان سازی برای اعضای انجمن </c:v>
                  </c:pt>
                  <c:pt idx="264">
                    <c:v>احیاء موازی 100 هکتار علفچرتوسط بذر تخم رشقه للمی </c:v>
                  </c:pt>
                  <c:pt idx="265">
                    <c:v>تهیه تخم رشقه برای موازی 100 هکتار </c:v>
                  </c:pt>
                  <c:pt idx="266">
                    <c:v>بذرپاشی و زیرخاک نمودن تخم رشقه للمی درساحات تخریب شده علفچر</c:v>
                  </c:pt>
                  <c:pt idx="267">
                    <c:v>مصارف اموزش انجمنها و نظارت از فعالیت های تطبیق شده پروژه </c:v>
                  </c:pt>
                  <c:pt idx="269">
                    <c:v>محصول</c:v>
                  </c:pt>
                  <c:pt idx="270">
                    <c:v>شناسایی انجمن علفچر ونباتات طبی </c:v>
                  </c:pt>
                  <c:pt idx="271">
                    <c:v>تدویرورکشاپ اموزشهای تخنیکی وپلان سازی برای اعضای انجمن </c:v>
                  </c:pt>
                  <c:pt idx="272">
                    <c:v>احیاء موازی 100 هکتار علفچرتوسط بذر تخم رشقه للمی </c:v>
                  </c:pt>
                  <c:pt idx="273">
                    <c:v>تهیه تخم علوفه برای موازی 100 هکتار </c:v>
                  </c:pt>
                  <c:pt idx="274">
                    <c:v>بذرپاشی و زیرخاک نمودن تخم رشقه للمی درساحات تخریب شده علفچر</c:v>
                  </c:pt>
                  <c:pt idx="275">
                    <c:v>احیاء نبات طبی هنگ </c:v>
                  </c:pt>
                  <c:pt idx="276">
                    <c:v>حفرواصلاح چاله ،نرم کاری خاک وبذرتخم هنگ </c:v>
                  </c:pt>
                  <c:pt idx="277">
                    <c:v>ابیاری توسط اب پاش </c:v>
                  </c:pt>
                  <c:pt idx="278">
                    <c:v>خریداری تخم هنگ </c:v>
                  </c:pt>
                  <c:pt idx="279">
                    <c:v>خریداری اب پاش </c:v>
                  </c:pt>
                  <c:pt idx="280">
                    <c:v>تهیه اب </c:v>
                  </c:pt>
                  <c:pt idx="281">
                    <c:v>مصارف اموزش انجمنها و نظارت از فعالیت های تطبیق شده پروژه </c:v>
                  </c:pt>
                  <c:pt idx="283">
                    <c:v>محصول</c:v>
                  </c:pt>
                  <c:pt idx="284">
                    <c:v>شناسایی انجمن علفچر ونباتات طبی </c:v>
                  </c:pt>
                  <c:pt idx="285">
                    <c:v>تدویرورکشاپ اموزشهای تخنیکی وپلان سازی برای اعضای انجمن </c:v>
                  </c:pt>
                  <c:pt idx="286">
                    <c:v>احیاء موازی 100 هکتار علفچرتوسط بذر تخم علوفه </c:v>
                  </c:pt>
                  <c:pt idx="287">
                    <c:v>تهیه تخم علوفه برای موازی 100 هکتار فی هکتار 5 کیلوگرام </c:v>
                  </c:pt>
                  <c:pt idx="288">
                    <c:v>بذرپاشی و زیرخاک نمودن تخم رشقه للمی درساحات تخریب شده علفچر</c:v>
                  </c:pt>
                  <c:pt idx="289">
                    <c:v>احیاء نباتات طبی هنگ </c:v>
                  </c:pt>
                  <c:pt idx="290">
                    <c:v>حفرواصلاح چاله ،نرم کاری خاک وبذرتخم هنگ </c:v>
                  </c:pt>
                  <c:pt idx="291">
                    <c:v>ابیاری توسط اب پاش </c:v>
                  </c:pt>
                  <c:pt idx="292">
                    <c:v>خریداری تخم هنگ </c:v>
                  </c:pt>
                  <c:pt idx="293">
                    <c:v>خریداری اب پاش </c:v>
                  </c:pt>
                  <c:pt idx="294">
                    <c:v>تهیه اب </c:v>
                  </c:pt>
                  <c:pt idx="295">
                    <c:v>مصارف اموزش انجمنها و نظارت از فعالیت های تطبیق شده پروژه </c:v>
                  </c:pt>
                  <c:pt idx="297">
                    <c:v>استخدام یک نفر متخصص علفچرها</c:v>
                  </c:pt>
                  <c:pt idx="298">
                    <c:v>تمدید قرارداد یک نفر متخصص نباتات طبی</c:v>
                  </c:pt>
                  <c:pt idx="302">
                    <c:v>محصول</c:v>
                  </c:pt>
                  <c:pt idx="303">
                    <c:v>آماده ساختن وپلات بندی یک  جریب زمین </c:v>
                  </c:pt>
                  <c:pt idx="304">
                    <c:v>خیشاوه کتمن کاری (3) جریب زمین برای 3 مرتبه </c:v>
                  </c:pt>
                  <c:pt idx="305">
                    <c:v>پاککاری جوی ها بطول (287) متر</c:v>
                  </c:pt>
                  <c:pt idx="306">
                    <c:v>تهیه(20) مترمکعب کمپوست </c:v>
                  </c:pt>
                  <c:pt idx="307">
                    <c:v>تراسپلانت (10000) اصله نهال </c:v>
                  </c:pt>
                  <c:pt idx="308">
                    <c:v>بذرساحه یک جریب زمین درساحه آذاد</c:v>
                  </c:pt>
                  <c:pt idx="309">
                    <c:v>مواد ،تجهیزات ،وسایل کاروروغنیات </c:v>
                  </c:pt>
                  <c:pt idx="311">
                    <c:v>آماده ساختن وپلات بندی 5 جریب زمین </c:v>
                  </c:pt>
                  <c:pt idx="312">
                    <c:v>خیشاوه کتمن کاری (3) جریب زمین برای 3 مرتبه </c:v>
                  </c:pt>
                  <c:pt idx="313">
                    <c:v>پاککاری جوی ها بطول (250) متر</c:v>
                  </c:pt>
                  <c:pt idx="314">
                    <c:v>تهیه(11) مترمکعب کمپوست </c:v>
                  </c:pt>
                  <c:pt idx="315">
                    <c:v>تراسپلانت (10000) اصله نهال </c:v>
                  </c:pt>
                  <c:pt idx="316">
                    <c:v>بذرساحه یک جریب زمین درساحه آذاد</c:v>
                  </c:pt>
                  <c:pt idx="317">
                    <c:v>مواد ،تجهیزات ،وسایل کاروروغنیات </c:v>
                  </c:pt>
                  <c:pt idx="319">
                    <c:v>آماده ساختن وپلات بندی 5 جریب زمین </c:v>
                  </c:pt>
                  <c:pt idx="320">
                    <c:v>بذرساحه یک جریب زمین درساحه آذاد</c:v>
                  </c:pt>
                  <c:pt idx="321">
                    <c:v>خیشاوه کتمن کاری (3) جریب زمین برای 3 مرتبه </c:v>
                  </c:pt>
                  <c:pt idx="322">
                    <c:v>پاککاری جوی ها بطول (500) متر</c:v>
                  </c:pt>
                  <c:pt idx="323">
                    <c:v>تهیه(20) مترمکعب کمپوست </c:v>
                  </c:pt>
                  <c:pt idx="324">
                    <c:v>تراسپلانت (10000) اصله نهال </c:v>
                  </c:pt>
                  <c:pt idx="325">
                    <c:v>مواد ،تجهیزات ،وسایل کاروروغنیات </c:v>
                  </c:pt>
                  <c:pt idx="327">
                    <c:v>آماده ساختن وپلات بندی 30 جریب زمین </c:v>
                  </c:pt>
                  <c:pt idx="328">
                    <c:v>احداث سرک های فرعی فارم </c:v>
                  </c:pt>
                  <c:pt idx="329">
                    <c:v>احداث جوی های  جدید بطول (500) متر</c:v>
                  </c:pt>
                  <c:pt idx="330">
                    <c:v>بذرساحه دو جریب زمین درساحه آذاد</c:v>
                  </c:pt>
                  <c:pt idx="331">
                    <c:v>مواد ،تجهیزات ،وسایل کاروروغنیات </c:v>
                  </c:pt>
                  <c:pt idx="332">
                    <c:v>اعماردیوار احاطه ، تعمیر ، چاه عمیق وفعالیت های تخنیکی قرارداد شده 1396</c:v>
                  </c:pt>
                  <c:pt idx="334">
                    <c:v>اماده ساختن وپلات بندی (4 )جریب زمین </c:v>
                  </c:pt>
                  <c:pt idx="335">
                    <c:v>بذرساحه یک جریب زمین درساحه آذاد</c:v>
                  </c:pt>
                  <c:pt idx="336">
                    <c:v>خیشاوه کتمن کاری (3) جریب زمین برای 3 مرتبه </c:v>
                  </c:pt>
                  <c:pt idx="337">
                    <c:v>پاککاری جوی ها بطول (250) متر</c:v>
                  </c:pt>
                  <c:pt idx="338">
                    <c:v>تهیه(12) مترمکعب کمپوست </c:v>
                  </c:pt>
                  <c:pt idx="339">
                    <c:v>مواد ،تجهیزات ،وسایل کاروروغنیات </c:v>
                  </c:pt>
                  <c:pt idx="340">
                    <c:v>ترمیم ذخیره آب  وشبکه آبیاری قوریه  فارم مره لاق </c:v>
                  </c:pt>
                  <c:pt idx="342">
                    <c:v>اماده ساختن وپلات بندی (4 )جریب زمین </c:v>
                  </c:pt>
                  <c:pt idx="343">
                    <c:v>خیشاوه کتمن کاری (5) جریب زمین برای 3 مرتبه </c:v>
                  </c:pt>
                  <c:pt idx="344">
                    <c:v>پاککاری جوی ها بطول (250) متر</c:v>
                  </c:pt>
                  <c:pt idx="345">
                    <c:v>تهیه(12) مترمکعب کمپوست </c:v>
                  </c:pt>
                  <c:pt idx="346">
                    <c:v>مواد ،تجهیزات ،وسایل کاروروغنیات </c:v>
                  </c:pt>
                  <c:pt idx="348">
                    <c:v>اماده سا ختن 20جریب زمین </c:v>
                  </c:pt>
                  <c:pt idx="349">
                    <c:v>بذرساحه دو جریب زمین درساحه آذاد</c:v>
                  </c:pt>
                  <c:pt idx="350">
                    <c:v>پرکاری (20000) خریطه پلاستیکی وبذرآن</c:v>
                  </c:pt>
                  <c:pt idx="351">
                    <c:v>خیشاوه کتمن کاری 7جریب زمین برای3 مرتبه </c:v>
                  </c:pt>
                  <c:pt idx="352">
                    <c:v>پاککاری جوی ها بطول (300) متر</c:v>
                  </c:pt>
                  <c:pt idx="353">
                    <c:v>تهیه(20) مترمکعب کمپوست </c:v>
                  </c:pt>
                  <c:pt idx="354">
                    <c:v>تراسپلانت (15000) اصله نهال </c:v>
                  </c:pt>
                  <c:pt idx="355">
                    <c:v>مواد ،تجهیزات ،وسایل کاروروغنیات </c:v>
                  </c:pt>
                  <c:pt idx="357">
                    <c:v>آماده ساختن وپلات بندی 3 جریب زمین </c:v>
                  </c:pt>
                  <c:pt idx="358">
                    <c:v>خیشاوه کتمن کاری (2) جریب زمین برای 3 مرتبه </c:v>
                  </c:pt>
                  <c:pt idx="359">
                    <c:v>پاککاری جوی ها بطول (300) متر</c:v>
                  </c:pt>
                  <c:pt idx="360">
                    <c:v>تهیه(15) مترمکعب کمپوست </c:v>
                  </c:pt>
                  <c:pt idx="361">
                    <c:v>بذرساحه یک جریب زمین درساحه آذاد</c:v>
                  </c:pt>
                  <c:pt idx="362">
                    <c:v>اعمار سیتم آبیاری فارم تاشلی گذر </c:v>
                  </c:pt>
                  <c:pt idx="363">
                    <c:v>مواد ،تجهیزات ،وسایل کاروروغنیات </c:v>
                  </c:pt>
                  <c:pt idx="365">
                    <c:v>آماده ساختن وپلات بندی 5 جریب زمین </c:v>
                  </c:pt>
                  <c:pt idx="366">
                    <c:v>بذرساحه یک جریب زمین درساحه آذاد</c:v>
                  </c:pt>
                  <c:pt idx="367">
                    <c:v>خیشاوه کتمن کاری (6) جریب زمین برای 3 مرتبه </c:v>
                  </c:pt>
                  <c:pt idx="368">
                    <c:v>پاککاری جوی ها بطول (300) متر</c:v>
                  </c:pt>
                  <c:pt idx="369">
                    <c:v>تهیه(15) مترمکعب کمپوست </c:v>
                  </c:pt>
                  <c:pt idx="370">
                    <c:v>تراسپلانت (20000) اصله نهال </c:v>
                  </c:pt>
                  <c:pt idx="371">
                    <c:v>مواد ،تجهیزات ،وسایل کاروروغنیات </c:v>
                  </c:pt>
                  <c:pt idx="373">
                    <c:v>اماده ساختن وپلات بندی (6 )جریب زمین </c:v>
                  </c:pt>
                  <c:pt idx="374">
                    <c:v>بذرساحه یک جریب زمین درساحه آذاد</c:v>
                  </c:pt>
                  <c:pt idx="375">
                    <c:v>پرکاری (20000) خریطه پلاستیکی وبذرآن</c:v>
                  </c:pt>
                  <c:pt idx="376">
                    <c:v>خیشاوه کتمن کاری (5) جریب زمین برای 3 مرتبه </c:v>
                  </c:pt>
                  <c:pt idx="377">
                    <c:v>پاککاری جوی ها بطول (300) متر</c:v>
                  </c:pt>
                  <c:pt idx="378">
                    <c:v>تهیه(12) مترمکعب کمپوست </c:v>
                  </c:pt>
                  <c:pt idx="379">
                    <c:v>تراسپلانت (20000) اصله نهال </c:v>
                  </c:pt>
                  <c:pt idx="380">
                    <c:v>مواد ،تجهیزات ،وسایل کاروروغنیات </c:v>
                  </c:pt>
                  <c:pt idx="382">
                    <c:v>اماده ساختن وپلات بندی (5)جریب زمین </c:v>
                  </c:pt>
                  <c:pt idx="383">
                    <c:v>بذرساحه یک جریب زمین درساحه آذاد</c:v>
                  </c:pt>
                  <c:pt idx="384">
                    <c:v>خیشاوه کتمن کاری (6) جریب زمین برای 3 مرتبه </c:v>
                  </c:pt>
                  <c:pt idx="385">
                    <c:v>پاککاری جوی ها بطول (300) متر</c:v>
                  </c:pt>
                  <c:pt idx="386">
                    <c:v>تهیه(20) مترمکعب کمپوست </c:v>
                  </c:pt>
                  <c:pt idx="387">
                    <c:v>تراسپلانت (10000) اصله نهال </c:v>
                  </c:pt>
                  <c:pt idx="388">
                    <c:v>مواد ،تجهیزات ،وسایل کاروروغنیات </c:v>
                  </c:pt>
                  <c:pt idx="390">
                    <c:v>اماده سا ختن10جریب زمین </c:v>
                  </c:pt>
                  <c:pt idx="391">
                    <c:v>بذرساحه یک جریب زمین درساحه آذاد</c:v>
                  </c:pt>
                  <c:pt idx="392">
                    <c:v>خیشاوه کتمن کاری (6) جریب زمین برای 3 مرتبه </c:v>
                  </c:pt>
                  <c:pt idx="393">
                    <c:v>پاککاری جوی ها بطول (250) متر</c:v>
                  </c:pt>
                  <c:pt idx="394">
                    <c:v>تهیه(25) مترمکعب کمپوست </c:v>
                  </c:pt>
                  <c:pt idx="395">
                    <c:v>حفریک حلقه چاه عمیق ونصب سولر</c:v>
                  </c:pt>
                  <c:pt idx="396">
                    <c:v>مواد ،تجهیزات ،وسایل کاروروغنیات </c:v>
                  </c:pt>
                  <c:pt idx="398">
                    <c:v>آماده ساختن وپلات بندی 6 جریب زمین </c:v>
                  </c:pt>
                  <c:pt idx="399">
                    <c:v>بذرساحه یک جریب زمین درساحه آذاد</c:v>
                  </c:pt>
                  <c:pt idx="400">
                    <c:v>خیشاوه کتمن کاری (6) جریب زمین برای 3 مرتبه </c:v>
                  </c:pt>
                  <c:pt idx="401">
                    <c:v>پرکاری (19000) خریطه پلاستیکی وبذرآن</c:v>
                  </c:pt>
                  <c:pt idx="402">
                    <c:v>پاککاری جوی ها بطول (300) متر</c:v>
                  </c:pt>
                  <c:pt idx="403">
                    <c:v>تهیه(11) مترمکعب کمپوست </c:v>
                  </c:pt>
                  <c:pt idx="404">
                    <c:v>تراسپلانت (10000) اصله نهال </c:v>
                  </c:pt>
                  <c:pt idx="405">
                    <c:v>حفریک حلقه چاه عمیق ونصب سولر</c:v>
                  </c:pt>
                  <c:pt idx="406">
                    <c:v>مواد ،تجهیزات ،وسایل کاروروغنیات </c:v>
                  </c:pt>
                  <c:pt idx="408">
                    <c:v>اماده سا ختن5جریب زمین </c:v>
                  </c:pt>
                  <c:pt idx="409">
                    <c:v>خیشاوه کتمن کاری (3) جریب زمین برای 3 مرتبه </c:v>
                  </c:pt>
                  <c:pt idx="410">
                    <c:v>پاککاری جوی ها بطول (250) متر</c:v>
                  </c:pt>
                  <c:pt idx="411">
                    <c:v>تهیه(15) مترمکعب کمپوست </c:v>
                  </c:pt>
                  <c:pt idx="412">
                    <c:v>بذرساحه یک جریب زمین درساحه آذاد</c:v>
                  </c:pt>
                  <c:pt idx="413">
                    <c:v>پرداخت پول سبز خانه قرارداد شده سال 1396</c:v>
                  </c:pt>
                  <c:pt idx="414">
                    <c:v>مواد ،تجهیزات ،وسایل کاروروغنیات </c:v>
                  </c:pt>
                  <c:pt idx="416">
                    <c:v>اماده سا ختن10جریب زمین </c:v>
                  </c:pt>
                  <c:pt idx="417">
                    <c:v>پاککاری جوی ها بطول (250) متر</c:v>
                  </c:pt>
                  <c:pt idx="418">
                    <c:v>تهیه(10) مترمکعب کمپوست </c:v>
                  </c:pt>
                  <c:pt idx="419">
                    <c:v>بذرساحه یک جریب زمین درساحه آذاد</c:v>
                  </c:pt>
                  <c:pt idx="420">
                    <c:v> نصب سیتم انرژی آفتابی یک حلقه چاه در قوریه تنی </c:v>
                  </c:pt>
                  <c:pt idx="421">
                    <c:v>مواد ،تجهیزات ،وسایل کاروروغنیات </c:v>
                  </c:pt>
                  <c:pt idx="423">
                    <c:v>اماده سا ختن 15جریب زمین </c:v>
                  </c:pt>
                  <c:pt idx="424">
                    <c:v>بذرساحه دو جریب زمین درساحه آذاد</c:v>
                  </c:pt>
                  <c:pt idx="425">
                    <c:v>پرکاری (40000) خریطه پلاستیکی وبذرآن</c:v>
                  </c:pt>
                  <c:pt idx="426">
                    <c:v>خیشاوه کتمن کاری 7جریب زمین برای3 مرتبه </c:v>
                  </c:pt>
                  <c:pt idx="427">
                    <c:v>پاککاری جوی ها بطول (300) متر</c:v>
                  </c:pt>
                  <c:pt idx="428">
                    <c:v>تهیه(20) مترمکعب کمپوست </c:v>
                  </c:pt>
                  <c:pt idx="429">
                    <c:v>تراسپلانت (15000) اصله نهال </c:v>
                  </c:pt>
                  <c:pt idx="430">
                    <c:v>حفر چقرک </c:v>
                  </c:pt>
                  <c:pt idx="431">
                    <c:v>نهال شانی نهال بانکس </c:v>
                  </c:pt>
                  <c:pt idx="432">
                    <c:v>آبیاری نهال های غرس شده برای یک مرتبه </c:v>
                  </c:pt>
                  <c:pt idx="433">
                    <c:v>تدویر ورکشاپ یک روزه برای 35 نفر کارمندان ریاست زراعت </c:v>
                  </c:pt>
                  <c:pt idx="434">
                    <c:v>آموزش کارمندان توسط ترینر</c:v>
                  </c:pt>
                  <c:pt idx="435">
                    <c:v>تهیه غذا ، قرطاسیه وسایر ضروریات ورکشاپ </c:v>
                  </c:pt>
                  <c:pt idx="436">
                    <c:v>خریداری نهال ریشه ئی بانکس وانتقال آن به ساحه </c:v>
                  </c:pt>
                  <c:pt idx="437">
                    <c:v>خریداری اجناس ووسایل وسایر ضروریات ازقبیل (متر ، بیل ، کلند کود سیاه وسفید ) وغیره </c:v>
                  </c:pt>
                  <c:pt idx="439">
                    <c:v>اماده ساختن وپلات بندی (4 )جریب زمین </c:v>
                  </c:pt>
                  <c:pt idx="440">
                    <c:v>خیشاوه کتمن کاری (3) جریب زمین برای 3 مرتبه </c:v>
                  </c:pt>
                  <c:pt idx="441">
                    <c:v>پاککاری جوی ها بطول (250) متر</c:v>
                  </c:pt>
                  <c:pt idx="442">
                    <c:v>تهیه(10) مترمکعب کمپوست </c:v>
                  </c:pt>
                  <c:pt idx="443">
                    <c:v>تراسپلانت (10000) اصله نهال </c:v>
                  </c:pt>
                  <c:pt idx="444">
                    <c:v>بذرساحه یک  جریب زمین درساحه آذاد</c:v>
                  </c:pt>
                  <c:pt idx="445">
                    <c:v>مواد ،تجهیزات ،وسایل کاروروغنیات </c:v>
                  </c:pt>
                  <c:pt idx="447">
                    <c:v>اماده ساختن وپلات بندی (4 )جریب زمین </c:v>
                  </c:pt>
                  <c:pt idx="448">
                    <c:v>پرکاری (30000) خریطه پلاستیکی وبذرآن</c:v>
                  </c:pt>
                  <c:pt idx="449">
                    <c:v>خیشاوه کتمن کاری (5) جریب زمین برای 3 مرتبه </c:v>
                  </c:pt>
                  <c:pt idx="450">
                    <c:v>پاککاری جوی ها بطول (300) متر</c:v>
                  </c:pt>
                  <c:pt idx="451">
                    <c:v>تهیه(15) مترمکعب کمپوست </c:v>
                  </c:pt>
                  <c:pt idx="452">
                    <c:v>تراسپلانت (10000) اصله نهال </c:v>
                  </c:pt>
                  <c:pt idx="453">
                    <c:v>بذرساحه یک   جریب زمین درساحه آذاد</c:v>
                  </c:pt>
                  <c:pt idx="454">
                    <c:v>مواد ،تجهیزات ،وسایل کاروروغنیات </c:v>
                  </c:pt>
                  <c:pt idx="456">
                    <c:v>اماده ساختن وپلات بندی (8 )جریب زمین </c:v>
                  </c:pt>
                  <c:pt idx="457">
                    <c:v>بذرساحه دو  جریب زمین درساحه آذاد</c:v>
                  </c:pt>
                  <c:pt idx="458">
                    <c:v>خیشاوه کتمن کاری (8) جریب زمین برای 3 مرتبه </c:v>
                  </c:pt>
                  <c:pt idx="459">
                    <c:v>پاککاری جوی ها بطول (350) متر</c:v>
                  </c:pt>
                  <c:pt idx="460">
                    <c:v>تهیه(15) مترمکعب کمپوست </c:v>
                  </c:pt>
                  <c:pt idx="461">
                    <c:v>تراسپلانت (30000) اصله نهال </c:v>
                  </c:pt>
                  <c:pt idx="462">
                    <c:v>مواد ،تجهیزات ،وسایل کاروروغنیات </c:v>
                  </c:pt>
                  <c:pt idx="464">
                    <c:v>اماده ساختن وپلات بندی (6 )جریب زمین </c:v>
                  </c:pt>
                  <c:pt idx="465">
                    <c:v>بذرساحه یک جریب زمین درساحه آذاد</c:v>
                  </c:pt>
                  <c:pt idx="466">
                    <c:v>پرکاری (20000) خریطه پلاستیکی وبذرآن</c:v>
                  </c:pt>
                  <c:pt idx="467">
                    <c:v>خیشاوه کتمن کاری (6) جریب زمین برای 3 مرتبه </c:v>
                  </c:pt>
                  <c:pt idx="468">
                    <c:v>پاککاری جوی ها بطول (300) متر</c:v>
                  </c:pt>
                  <c:pt idx="469">
                    <c:v>تهیه(20) مترمکعب کمپوست </c:v>
                  </c:pt>
                  <c:pt idx="470">
                    <c:v>تراسپلانت (15000) اصله نهال </c:v>
                  </c:pt>
                  <c:pt idx="471">
                    <c:v>مواد ،تجهیزات ،وسایل کاروروغنیات </c:v>
                  </c:pt>
                  <c:pt idx="473">
                    <c:v>آماده ساختن وپلات بندی6جریب زمین </c:v>
                  </c:pt>
                  <c:pt idx="474">
                    <c:v>خیشاوه کتمن کاری (5) جریب زمین برای 3 مرتبه </c:v>
                  </c:pt>
                  <c:pt idx="475">
                    <c:v>پاککاری جوی ها بطول (350) متر</c:v>
                  </c:pt>
                  <c:pt idx="476">
                    <c:v>تهیه(15) مترمکعب کمپوست </c:v>
                  </c:pt>
                  <c:pt idx="477">
                    <c:v>تراسپلانت (10000) اصله نهال </c:v>
                  </c:pt>
                  <c:pt idx="478">
                    <c:v>بذرساحه یک جریب زمین درساحه آذاد</c:v>
                  </c:pt>
                  <c:pt idx="479">
                    <c:v>مواد ،تجهیزات ،وسایل کاروروغنیات </c:v>
                  </c:pt>
                  <c:pt idx="481">
                    <c:v>آماده ساختن وپلات بندی10جریب زمین </c:v>
                  </c:pt>
                  <c:pt idx="482">
                    <c:v>خیشاوه کتمن کاری (6) جریب زمین برای 3 مرتبه </c:v>
                  </c:pt>
                  <c:pt idx="483">
                    <c:v>پاککاری جوی ها بطول (300) متر</c:v>
                  </c:pt>
                  <c:pt idx="484">
                    <c:v>تهیه(15) مترمکعب کمپوست </c:v>
                  </c:pt>
                  <c:pt idx="485">
                    <c:v>تراسپلانت (12000) اصله نهال </c:v>
                  </c:pt>
                  <c:pt idx="486">
                    <c:v>بذرساحه دو جریب زمین درساحه آذاد</c:v>
                  </c:pt>
                  <c:pt idx="487">
                    <c:v>مواد ،تجهیزات ،وسایل کاروروغنیات </c:v>
                  </c:pt>
                  <c:pt idx="489">
                    <c:v>آماده ساختن وپلات بندی8جریب زمین </c:v>
                  </c:pt>
                  <c:pt idx="490">
                    <c:v>خیشاوه کتمن کاری (6) جریب زمین برای 3 مرتبه </c:v>
                  </c:pt>
                  <c:pt idx="491">
                    <c:v>پاککاری جوی ها بطول (300) متر</c:v>
                  </c:pt>
                  <c:pt idx="492">
                    <c:v>تهیه(15) مترمکعب کمپوست </c:v>
                  </c:pt>
                  <c:pt idx="493">
                    <c:v>تراسپلانت (10000) اصله نهال </c:v>
                  </c:pt>
                  <c:pt idx="494">
                    <c:v>بذرساحه یک جریب زمین درساحه آذاد</c:v>
                  </c:pt>
                  <c:pt idx="495">
                    <c:v>مواد ،تجهیزات ،وسایل کاروروغنیات </c:v>
                  </c:pt>
                  <c:pt idx="497">
                    <c:v>آماده ساختن وپلات بندی15جریب زمین </c:v>
                  </c:pt>
                  <c:pt idx="498">
                    <c:v>خیشاوه کتمن کاری (5) جریب زمین برای 3 مرتبه </c:v>
                  </c:pt>
                  <c:pt idx="499">
                    <c:v>پاککاری جوی ها بطول (300) متر</c:v>
                  </c:pt>
                  <c:pt idx="500">
                    <c:v>تهیه(15) مترمکعب کمپوست </c:v>
                  </c:pt>
                  <c:pt idx="501">
                    <c:v>تراسپلانت (10000) اصله نهال </c:v>
                  </c:pt>
                  <c:pt idx="502">
                    <c:v>بذرساحه دو جریب زمین درساحه آذاد</c:v>
                  </c:pt>
                  <c:pt idx="503">
                    <c:v>مواد ،تجهیزات ،وسایل کاروروغنیات </c:v>
                  </c:pt>
                  <c:pt idx="505">
                    <c:v>آماده ساختن وپلات بندی15جریب زمین </c:v>
                  </c:pt>
                  <c:pt idx="506">
                    <c:v>بذرساحه دو جریب زمین درساحه آذاد</c:v>
                  </c:pt>
                  <c:pt idx="507">
                    <c:v>خیشاوه کتمن کاری (6) جریب زمین برای 3 مرتبه </c:v>
                  </c:pt>
                  <c:pt idx="508">
                    <c:v>پاککاری جوی ها بطول (350) متر</c:v>
                  </c:pt>
                  <c:pt idx="509">
                    <c:v>تهیه(15) مترمکعب کمپوست </c:v>
                  </c:pt>
                  <c:pt idx="510">
                    <c:v>تراسپلانت (20000) اصله نهال </c:v>
                  </c:pt>
                  <c:pt idx="511">
                    <c:v>مواد ،تجهیزات ،وسایل کاروروغنیات </c:v>
                  </c:pt>
                  <c:pt idx="513">
                    <c:v>آماده ساختن وپلات بندی 4 جریب زمین </c:v>
                  </c:pt>
                  <c:pt idx="514">
                    <c:v>خیشاوه کتمن کاری (2) جریب زمین برای 3 مرتبه </c:v>
                  </c:pt>
                  <c:pt idx="515">
                    <c:v>بذرساحه یک جریب زمین درساحه آذاد</c:v>
                  </c:pt>
                  <c:pt idx="516">
                    <c:v>پاککاری جوی ها بطول (300) متر</c:v>
                  </c:pt>
                  <c:pt idx="517">
                    <c:v>تهیه(10) مترمکعب کمپوست </c:v>
                  </c:pt>
                  <c:pt idx="518">
                    <c:v>مواد ،تجهیزات ،وسایل کاروروغنیات </c:v>
                  </c:pt>
                  <c:pt idx="520">
                    <c:v>آماده ساختن وپلات بندی 10جریب زمین </c:v>
                  </c:pt>
                  <c:pt idx="521">
                    <c:v>بذرساحه یک جریب زمین درساحه آذاد</c:v>
                  </c:pt>
                  <c:pt idx="522">
                    <c:v>خیشاوه کتمن کاری (6) جریب زمین برای 3 مرتبه </c:v>
                  </c:pt>
                  <c:pt idx="523">
                    <c:v>پاککاری جوی ها بطول (300) متر</c:v>
                  </c:pt>
                  <c:pt idx="524">
                    <c:v>تهیه(10) مترمکعب کمپوست </c:v>
                  </c:pt>
                  <c:pt idx="525">
                    <c:v>تراسپلانت (10000) اصله نهال </c:v>
                  </c:pt>
                  <c:pt idx="526">
                    <c:v>مواد ،تجهیزات ،وسایل کاروروغنیات </c:v>
                  </c:pt>
                  <c:pt idx="528">
                    <c:v>آماده ساختن وپلات بندی6.5 جریب زمین </c:v>
                  </c:pt>
                  <c:pt idx="529">
                    <c:v>بذرساحه یک جریب زمین درساحه آذاد</c:v>
                  </c:pt>
                  <c:pt idx="530">
                    <c:v>خیشاوه کتمن کاری (5) جریب زمین برای 3 مرتبه </c:v>
                  </c:pt>
                  <c:pt idx="531">
                    <c:v>پاککاری جوی ها بطول (333) متر</c:v>
                  </c:pt>
                  <c:pt idx="532">
                    <c:v>تهیه(20) مترمکعب کمپوست </c:v>
                  </c:pt>
                  <c:pt idx="533">
                    <c:v>تراسپلانت (11000) اصله نهال </c:v>
                  </c:pt>
                  <c:pt idx="534">
                    <c:v>مواد ،تجهیزات ،وسایل کاروروغنیات </c:v>
                  </c:pt>
                  <c:pt idx="538">
                    <c:v>محصول</c:v>
                  </c:pt>
                  <c:pt idx="539">
                    <c:v>موجودیت  صفا کار</c:v>
                  </c:pt>
                  <c:pt idx="540">
                    <c:v>موجودیت محافظین</c:v>
                  </c:pt>
                  <c:pt idx="541">
                    <c:v>موجودیت پیاده رو سنگفرش و پخته</c:v>
                  </c:pt>
                  <c:pt idx="542">
                    <c:v>موجودیت آب در کمپلکس</c:v>
                  </c:pt>
                  <c:pt idx="544">
                    <c:v>محصول</c:v>
                  </c:pt>
                  <c:pt idx="545">
                    <c:v>موجودیت سوپروایزر</c:v>
                  </c:pt>
                  <c:pt idx="546">
                    <c:v>موجودیت محافظین</c:v>
                  </c:pt>
                  <c:pt idx="548">
                    <c:v>محصول</c:v>
                  </c:pt>
                  <c:pt idx="549">
                    <c:v>موجودیت محافظین</c:v>
                  </c:pt>
                  <c:pt idx="553">
                    <c:v>تمدید قرارداد 1 نفر متخصص مدیریت تغیر   منابع طبیعی</c:v>
                  </c:pt>
                  <c:pt idx="554">
                    <c:v>مصارف اداری، نظارت، ارزیابی ومصارف احتمالی </c:v>
                  </c:pt>
                  <c:pt idx="557">
                    <c:v>قیمت  هربخش  به افغانی </c:v>
                  </c:pt>
                  <c:pt idx="558">
                    <c:v> 13,770,000 </c:v>
                  </c:pt>
                  <c:pt idx="559">
                    <c:v> 17,808,821 </c:v>
                  </c:pt>
                  <c:pt idx="560">
                    <c:v> 26,601,968 </c:v>
                  </c:pt>
                  <c:pt idx="561">
                    <c:v> 7,828,100 </c:v>
                  </c:pt>
                  <c:pt idx="562">
                    <c:v> 2,331,110 </c:v>
                  </c:pt>
                  <c:pt idx="563">
                    <c:v> 68,340,000 </c:v>
                  </c:pt>
                  <c:pt idx="576">
                    <c:v>تصدیق کننده</c:v>
                  </c:pt>
                  <c:pt idx="577">
                    <c:v> انجنیر فهیم الله ضیائی  </c:v>
                  </c:pt>
                  <c:pt idx="578">
                    <c:v>معین آبیاری ومنابع طبیعی </c:v>
                  </c:pt>
                </c:lvl>
                <c:lvl>
                  <c:pt idx="2">
                    <c:v>قریه</c:v>
                  </c:pt>
                  <c:pt idx="8">
                    <c:v>قریه</c:v>
                  </c:pt>
                  <c:pt idx="9">
                    <c:v>ده برنج ،خارستانلامان  </c:v>
                  </c:pt>
                  <c:pt idx="13">
                    <c:v>قریه</c:v>
                  </c:pt>
                  <c:pt idx="14">
                    <c:v>بادام دره ، خطایان ،جوی شیخ وقبر قاضی </c:v>
                  </c:pt>
                  <c:pt idx="19">
                    <c:v>قریه</c:v>
                  </c:pt>
                  <c:pt idx="24">
                    <c:v>قریه</c:v>
                  </c:pt>
                  <c:pt idx="25">
                    <c:v>حضرت سلطان </c:v>
                  </c:pt>
                  <c:pt idx="29">
                    <c:v>قریه</c:v>
                  </c:pt>
                  <c:pt idx="33">
                    <c:v>قریه</c:v>
                  </c:pt>
                  <c:pt idx="37">
                    <c:v>قریه</c:v>
                  </c:pt>
                  <c:pt idx="41">
                    <c:v>قریه</c:v>
                  </c:pt>
                  <c:pt idx="47">
                    <c:v>قریه</c:v>
                  </c:pt>
                  <c:pt idx="54">
                    <c:v>قریه</c:v>
                  </c:pt>
                  <c:pt idx="55">
                    <c:v>روی دره ،کرامان وآب دره </c:v>
                  </c:pt>
                  <c:pt idx="59">
                    <c:v>قریه</c:v>
                  </c:pt>
                  <c:pt idx="64">
                    <c:v>قریه</c:v>
                  </c:pt>
                  <c:pt idx="70">
                    <c:v>قریه</c:v>
                  </c:pt>
                  <c:pt idx="72">
                    <c:v>دره قاق وتنگانی </c:v>
                  </c:pt>
                  <c:pt idx="86">
                    <c:v>قریه</c:v>
                  </c:pt>
                  <c:pt idx="87">
                    <c:v>بوزارق</c:v>
                  </c:pt>
                  <c:pt idx="114">
                    <c:v>قریه</c:v>
                  </c:pt>
                  <c:pt idx="115">
                    <c:v>دشت امرود</c:v>
                  </c:pt>
                  <c:pt idx="129">
                    <c:v>قریه</c:v>
                  </c:pt>
                  <c:pt idx="157">
                    <c:v>قریه</c:v>
                  </c:pt>
                  <c:pt idx="158">
                    <c:v>حضرت سلطان ، دره شرق </c:v>
                  </c:pt>
                  <c:pt idx="172">
                    <c:v>قریه</c:v>
                  </c:pt>
                  <c:pt idx="173">
                    <c:v>بهائی ,بخارا، وسبزناله
</c:v>
                  </c:pt>
                  <c:pt idx="180">
                    <c:v>قریه</c:v>
                  </c:pt>
                  <c:pt idx="181">
                    <c:v>کاسی ،تیل بای، نظر،دهن قره باغی  </c:v>
                  </c:pt>
                  <c:pt idx="187">
                    <c:v>قریه</c:v>
                  </c:pt>
                  <c:pt idx="216">
                    <c:v>قریه</c:v>
                  </c:pt>
                  <c:pt idx="217">
                    <c:v>تورغندی وشه بخش</c:v>
                  </c:pt>
                  <c:pt idx="237">
                    <c:v>قریه</c:v>
                  </c:pt>
                  <c:pt idx="245">
                    <c:v>قریه</c:v>
                  </c:pt>
                  <c:pt idx="253">
                    <c:v>قریه</c:v>
                  </c:pt>
                  <c:pt idx="254">
                    <c:v>وریاچ</c:v>
                  </c:pt>
                  <c:pt idx="261">
                    <c:v>قریه</c:v>
                  </c:pt>
                  <c:pt idx="269">
                    <c:v>قریه</c:v>
                  </c:pt>
                  <c:pt idx="270">
                    <c:v>جوییخ وقبر قاضی </c:v>
                  </c:pt>
                  <c:pt idx="283">
                    <c:v>قریه</c:v>
                  </c:pt>
                  <c:pt idx="284">
                    <c:v>قرغن تو، وقریجا وسولای سه گانه</c:v>
                  </c:pt>
                  <c:pt idx="302">
                    <c:v>قریه</c:v>
                  </c:pt>
                  <c:pt idx="303">
                    <c:v>عقب ولسوالی </c:v>
                  </c:pt>
                  <c:pt idx="311">
                    <c:v>مرکز باغ جبل السراج</c:v>
                  </c:pt>
                  <c:pt idx="319">
                    <c:v>شوخی </c:v>
                  </c:pt>
                  <c:pt idx="327">
                    <c:v>دشت توپ</c:v>
                  </c:pt>
                  <c:pt idx="334">
                    <c:v>مره لاق ودشتک </c:v>
                  </c:pt>
                  <c:pt idx="342">
                    <c:v>شش پل</c:v>
                  </c:pt>
                  <c:pt idx="348">
                    <c:v>ده هدادی</c:v>
                  </c:pt>
                  <c:pt idx="357">
                    <c:v>تاشلی گذر</c:v>
                  </c:pt>
                  <c:pt idx="365">
                    <c:v>جنگل باغ شبرغان</c:v>
                  </c:pt>
                  <c:pt idx="373">
                    <c:v>کارته مامورین </c:v>
                  </c:pt>
                  <c:pt idx="382">
                    <c:v>جنگل باغ</c:v>
                  </c:pt>
                  <c:pt idx="390">
                    <c:v>باغ تیره </c:v>
                  </c:pt>
                  <c:pt idx="398">
                    <c:v>جنگل باغ </c:v>
                  </c:pt>
                  <c:pt idx="408">
                    <c:v>مرکز</c:v>
                  </c:pt>
                  <c:pt idx="416">
                    <c:v>مرکز ولسوالی </c:v>
                  </c:pt>
                  <c:pt idx="423">
                    <c:v>ولسوالی بهسود وفارم جدید </c:v>
                  </c:pt>
                  <c:pt idx="439">
                    <c:v>باغ قلعه سراج </c:v>
                  </c:pt>
                  <c:pt idx="447">
                    <c:v>مندکول</c:v>
                  </c:pt>
                  <c:pt idx="456">
                    <c:v>جنگل باغ پل پشتو</c:v>
                  </c:pt>
                  <c:pt idx="464">
                    <c:v>جنگل باغ شمالی</c:v>
                  </c:pt>
                  <c:pt idx="473">
                    <c:v>مرکز</c:v>
                  </c:pt>
                  <c:pt idx="481">
                    <c:v>فارم شگوفان </c:v>
                  </c:pt>
                  <c:pt idx="489">
                    <c:v>مرکز ولسوالی </c:v>
                  </c:pt>
                  <c:pt idx="497">
                    <c:v>باغ اختر</c:v>
                  </c:pt>
                  <c:pt idx="505">
                    <c:v>جنگل باغ  تالقان وچاه عمیق </c:v>
                  </c:pt>
                  <c:pt idx="513">
                    <c:v>مرکزترویجی</c:v>
                  </c:pt>
                  <c:pt idx="520">
                    <c:v>مرکز</c:v>
                  </c:pt>
                  <c:pt idx="528">
                    <c:v>مرکز</c:v>
                  </c:pt>
                  <c:pt idx="538">
                    <c:v>قریه</c:v>
                  </c:pt>
                  <c:pt idx="539">
                    <c:v>بند امیر</c:v>
                  </c:pt>
                  <c:pt idx="540">
                    <c:v>بند امیر</c:v>
                  </c:pt>
                  <c:pt idx="541">
                    <c:v>بند امیر</c:v>
                  </c:pt>
                  <c:pt idx="542">
                    <c:v>بند امیر</c:v>
                  </c:pt>
                  <c:pt idx="544">
                    <c:v>قریه</c:v>
                  </c:pt>
                  <c:pt idx="545">
                    <c:v>پارک ملی واخان</c:v>
                  </c:pt>
                  <c:pt idx="546">
                    <c:v>پارک ملی واخان</c:v>
                  </c:pt>
                  <c:pt idx="548">
                    <c:v>قریه</c:v>
                  </c:pt>
                  <c:pt idx="549">
                    <c:v>کول حشمت خان</c:v>
                  </c:pt>
                  <c:pt idx="553">
                    <c:v>مرکز </c:v>
                  </c:pt>
                  <c:pt idx="554">
                    <c:v>مرکز </c:v>
                  </c:pt>
                  <c:pt idx="565">
                    <c:v>وظیفه</c:v>
                  </c:pt>
                  <c:pt idx="566">
                    <c:v>امرتنظیم جنگلات وابریزه ها </c:v>
                  </c:pt>
                  <c:pt idx="567">
                    <c:v>امر احیا وتوسعه جنگلات </c:v>
                  </c:pt>
                  <c:pt idx="568">
                    <c:v>امرتنظیم علفچرها </c:v>
                  </c:pt>
                  <c:pt idx="569">
                    <c:v>مدیر پارک های ملی</c:v>
                  </c:pt>
                  <c:pt idx="571">
                    <c:v>رئیس جنگلات</c:v>
                  </c:pt>
                  <c:pt idx="572">
                    <c:v>رئیس علفچر ها</c:v>
                  </c:pt>
                  <c:pt idx="573">
                    <c:v>رئیس ساحات حفاظت شده </c:v>
                  </c:pt>
                  <c:pt idx="575">
                    <c:v>مدیر عمومی پلان و هماهنگی پروژه ها</c:v>
                  </c:pt>
                </c:lvl>
                <c:lvl>
                  <c:pt idx="2">
                    <c:v>ولسوالی</c:v>
                  </c:pt>
                  <c:pt idx="4">
                    <c:v>کشک کهنه </c:v>
                  </c:pt>
                  <c:pt idx="8">
                    <c:v>ولسوالی</c:v>
                  </c:pt>
                  <c:pt idx="9">
                    <c:v>قادس ،مقر مرکز </c:v>
                  </c:pt>
                  <c:pt idx="13">
                    <c:v>ولسوالی</c:v>
                  </c:pt>
                  <c:pt idx="14">
                    <c:v>نمک آب وبهارک </c:v>
                  </c:pt>
                  <c:pt idx="19">
                    <c:v>ولسوالی</c:v>
                  </c:pt>
                  <c:pt idx="20">
                    <c:v>ارگو، درایم</c:v>
                  </c:pt>
                  <c:pt idx="24">
                    <c:v>ولسوالی</c:v>
                  </c:pt>
                  <c:pt idx="25">
                    <c:v>مرکز </c:v>
                  </c:pt>
                  <c:pt idx="29">
                    <c:v>ولسوالی</c:v>
                  </c:pt>
                  <c:pt idx="30">
                    <c:v>مرکز</c:v>
                  </c:pt>
                  <c:pt idx="33">
                    <c:v>ولسوالی</c:v>
                  </c:pt>
                  <c:pt idx="34">
                    <c:v>مرکز</c:v>
                  </c:pt>
                  <c:pt idx="37">
                    <c:v>ولسوالی</c:v>
                  </c:pt>
                  <c:pt idx="38">
                    <c:v>مرکز </c:v>
                  </c:pt>
                  <c:pt idx="41">
                    <c:v>ولسوالی</c:v>
                  </c:pt>
                  <c:pt idx="42">
                    <c:v>ازره </c:v>
                  </c:pt>
                  <c:pt idx="47">
                    <c:v>ولسوالی</c:v>
                  </c:pt>
                  <c:pt idx="48">
                    <c:v>مانوگی، وته پور، و دانگام </c:v>
                  </c:pt>
                  <c:pt idx="54">
                    <c:v>ولسوالی</c:v>
                  </c:pt>
                  <c:pt idx="55">
                    <c:v>شتل ، دره وعنابه </c:v>
                  </c:pt>
                  <c:pt idx="59">
                    <c:v>ولسوالی</c:v>
                  </c:pt>
                  <c:pt idx="60">
                    <c:v>مرکز </c:v>
                  </c:pt>
                  <c:pt idx="64">
                    <c:v>ولسوالی</c:v>
                  </c:pt>
                  <c:pt idx="65">
                    <c:v>مرکز</c:v>
                  </c:pt>
                  <c:pt idx="70">
                    <c:v>ولسوالی</c:v>
                  </c:pt>
                  <c:pt idx="72">
                    <c:v>درایم وکشکان</c:v>
                  </c:pt>
                  <c:pt idx="86">
                    <c:v>ولسوالی</c:v>
                  </c:pt>
                  <c:pt idx="87">
                    <c:v>شورتپه ،چمتال، دهداتی</c:v>
                  </c:pt>
                  <c:pt idx="114">
                    <c:v>ولسوالی</c:v>
                  </c:pt>
                  <c:pt idx="115">
                    <c:v>خنجان </c:v>
                  </c:pt>
                  <c:pt idx="129">
                    <c:v>ولسوالی</c:v>
                  </c:pt>
                  <c:pt idx="130">
                    <c:v>مرکز ، قرقین </c:v>
                  </c:pt>
                  <c:pt idx="157">
                    <c:v>ولسوالی</c:v>
                  </c:pt>
                  <c:pt idx="158">
                    <c:v>مرکز، خرم سارباغ،حضرت سلطان </c:v>
                  </c:pt>
                  <c:pt idx="172">
                    <c:v>ولسوالی</c:v>
                  </c:pt>
                  <c:pt idx="173">
                    <c:v>ناهور</c:v>
                  </c:pt>
                  <c:pt idx="180">
                    <c:v>ولسوالی</c:v>
                  </c:pt>
                  <c:pt idx="181">
                    <c:v>مرکز, دولتیارولعل </c:v>
                  </c:pt>
                  <c:pt idx="187">
                    <c:v>ولسوالی</c:v>
                  </c:pt>
                  <c:pt idx="188">
                    <c:v>اندخوی</c:v>
                  </c:pt>
                  <c:pt idx="216">
                    <c:v>ولسوالی</c:v>
                  </c:pt>
                  <c:pt idx="217">
                    <c:v>غوریان وربات سنگی </c:v>
                  </c:pt>
                  <c:pt idx="237">
                    <c:v>ولسوالی</c:v>
                  </c:pt>
                  <c:pt idx="238">
                    <c:v>قلعه نو </c:v>
                  </c:pt>
                  <c:pt idx="245">
                    <c:v>ولسوالی</c:v>
                  </c:pt>
                  <c:pt idx="246">
                    <c:v>خدر وسنگ تخت </c:v>
                  </c:pt>
                  <c:pt idx="253">
                    <c:v>ولسوالی</c:v>
                  </c:pt>
                  <c:pt idx="254">
                    <c:v> پریان </c:v>
                  </c:pt>
                  <c:pt idx="261">
                    <c:v>ولسوالی</c:v>
                  </c:pt>
                  <c:pt idx="262">
                    <c:v>حصله اول بهسود</c:v>
                  </c:pt>
                  <c:pt idx="269">
                    <c:v>ولسوالی</c:v>
                  </c:pt>
                  <c:pt idx="270">
                    <c:v>مرکز </c:v>
                  </c:pt>
                  <c:pt idx="283">
                    <c:v>ولسوالی</c:v>
                  </c:pt>
                  <c:pt idx="284">
                    <c:v> مرکز ،سیغان،ورس وکه مرد</c:v>
                  </c:pt>
                  <c:pt idx="297">
                    <c:v>مرکز</c:v>
                  </c:pt>
                  <c:pt idx="302">
                    <c:v>ولسوالی</c:v>
                  </c:pt>
                  <c:pt idx="303">
                    <c:v>استالف </c:v>
                  </c:pt>
                  <c:pt idx="311">
                    <c:v>ولسوالی جبل السراج </c:v>
                  </c:pt>
                  <c:pt idx="319">
                    <c:v>مرکز</c:v>
                  </c:pt>
                  <c:pt idx="327">
                    <c:v>ولسوالی سید آباد</c:v>
                  </c:pt>
                  <c:pt idx="334">
                    <c:v>رخه ومرکز </c:v>
                  </c:pt>
                  <c:pt idx="342">
                    <c:v>مرکز </c:v>
                  </c:pt>
                  <c:pt idx="348">
                    <c:v>مرکز ولسوالی بلخ </c:v>
                  </c:pt>
                  <c:pt idx="357">
                    <c:v>مرکز </c:v>
                  </c:pt>
                  <c:pt idx="365">
                    <c:v>مرکز</c:v>
                  </c:pt>
                  <c:pt idx="373">
                    <c:v>مرکز </c:v>
                  </c:pt>
                  <c:pt idx="382">
                    <c:v>مرکز </c:v>
                  </c:pt>
                  <c:pt idx="390">
                    <c:v>مرکز</c:v>
                  </c:pt>
                  <c:pt idx="398">
                    <c:v>مرکز</c:v>
                  </c:pt>
                  <c:pt idx="408">
                    <c:v>مرکز </c:v>
                  </c:pt>
                  <c:pt idx="416">
                    <c:v>تنی </c:v>
                  </c:pt>
                  <c:pt idx="423">
                    <c:v>ولسوالی بهسود وفارم جدید </c:v>
                  </c:pt>
                  <c:pt idx="439">
                    <c:v>مرکز </c:v>
                  </c:pt>
                  <c:pt idx="447">
                    <c:v>مرکز </c:v>
                  </c:pt>
                  <c:pt idx="456">
                    <c:v>گذره </c:v>
                  </c:pt>
                  <c:pt idx="464">
                    <c:v>مرکز</c:v>
                  </c:pt>
                  <c:pt idx="473">
                    <c:v>مرکز </c:v>
                  </c:pt>
                  <c:pt idx="481">
                    <c:v>مرکز </c:v>
                  </c:pt>
                  <c:pt idx="489">
                    <c:v>کشم </c:v>
                  </c:pt>
                  <c:pt idx="497">
                    <c:v>بغلان جدید </c:v>
                  </c:pt>
                  <c:pt idx="505">
                    <c:v>مرکز</c:v>
                  </c:pt>
                  <c:pt idx="513">
                    <c:v>ژیری</c:v>
                  </c:pt>
                  <c:pt idx="520">
                    <c:v>مرکز</c:v>
                  </c:pt>
                  <c:pt idx="528">
                    <c:v>شهرستان  </c:v>
                  </c:pt>
                  <c:pt idx="538">
                    <c:v>ولسوالی</c:v>
                  </c:pt>
                  <c:pt idx="539">
                    <c:v>یکاولنگ</c:v>
                  </c:pt>
                  <c:pt idx="540">
                    <c:v>یکاولنگ</c:v>
                  </c:pt>
                  <c:pt idx="541">
                    <c:v>یکاولنگ</c:v>
                  </c:pt>
                  <c:pt idx="542">
                    <c:v>یکاولنگ</c:v>
                  </c:pt>
                  <c:pt idx="543">
                    <c:v>مجموع فرعی </c:v>
                  </c:pt>
                  <c:pt idx="544">
                    <c:v>ولسوالی</c:v>
                  </c:pt>
                  <c:pt idx="545">
                    <c:v>واخان</c:v>
                  </c:pt>
                  <c:pt idx="546">
                    <c:v>واخان</c:v>
                  </c:pt>
                  <c:pt idx="547">
                    <c:v>مجموع فرعی </c:v>
                  </c:pt>
                  <c:pt idx="548">
                    <c:v>ولسوالی</c:v>
                  </c:pt>
                  <c:pt idx="549">
                    <c:v>بگرامی</c:v>
                  </c:pt>
                  <c:pt idx="550">
                    <c:v>مجموع فرعی </c:v>
                  </c:pt>
                  <c:pt idx="553">
                    <c:v>مرکز </c:v>
                  </c:pt>
                  <c:pt idx="554">
                    <c:v>مرکز </c:v>
                  </c:pt>
                  <c:pt idx="555">
                    <c:v>مجموع فرعی </c:v>
                  </c:pt>
                  <c:pt idx="558">
                    <c:v>احیاء و حفاظت جنگلات، تنظیم آبریزه ها زنجیره ارزش افزایی محصولات</c:v>
                  </c:pt>
                  <c:pt idx="559">
                    <c:v>تنظیم همه جانبه علفچر ها و نباتات طبی</c:v>
                  </c:pt>
                  <c:pt idx="560">
                    <c:v>احیای فارم ها و جنگل باغ ها غرض گسترش فضای سبز</c:v>
                  </c:pt>
                  <c:pt idx="561">
                    <c:v>انکشاف ایکوسیستم های طبیعی با ارزش</c:v>
                  </c:pt>
                  <c:pt idx="562">
                    <c:v>  معاش 2 نفر متخصص ،نظارت ،ارزیابی  از فعالیت های برنامه  ملی منابع طبیعی ومصارف احتمالی </c:v>
                  </c:pt>
                  <c:pt idx="566">
                    <c:v> سید امین الله فخری </c:v>
                  </c:pt>
                  <c:pt idx="567">
                    <c:v>احمد شاه امرخیل </c:v>
                  </c:pt>
                  <c:pt idx="568">
                    <c:v>غلام دستگیر سروری </c:v>
                  </c:pt>
                  <c:pt idx="569">
                    <c:v>عبدالقیوم پاینده</c:v>
                  </c:pt>
                  <c:pt idx="571">
                    <c:v>محمد امان امانیار</c:v>
                  </c:pt>
                  <c:pt idx="572">
                    <c:v>انجنیر محمد عارف حسینی</c:v>
                  </c:pt>
                  <c:pt idx="573">
                    <c:v>سید رحمن زیارمل </c:v>
                  </c:pt>
                  <c:pt idx="575">
                    <c:v>رفاع الدین امینی</c:v>
                  </c:pt>
                  <c:pt idx="576">
                    <c:v>تصدیق کننده</c:v>
                  </c:pt>
                  <c:pt idx="577">
                    <c:v>محمد رفیع قاضی زاده</c:v>
                  </c:pt>
                  <c:pt idx="578">
                    <c:v>رئیس عمومی منابع طبیعی</c:v>
                  </c:pt>
                </c:lvl>
                <c:lvl>
                  <c:pt idx="0">
                    <c:v>ضمیمه 3: پلان کاری سالانه برنامه برای سال 1397</c:v>
                  </c:pt>
                  <c:pt idx="1">
                    <c:v>الف: احیاء و حفاظت جنگلات، تنظیم آبریزه ها و زنجیره ارزش افزایی محصولات جنگل</c:v>
                  </c:pt>
                  <c:pt idx="2">
                    <c:v>ولایات</c:v>
                  </c:pt>
                  <c:pt idx="4">
                    <c:v>هرات </c:v>
                  </c:pt>
                  <c:pt idx="7">
                    <c:v>مجموع فرعی </c:v>
                  </c:pt>
                  <c:pt idx="8">
                    <c:v>ولایات</c:v>
                  </c:pt>
                  <c:pt idx="9">
                    <c:v>بادغیس </c:v>
                  </c:pt>
                  <c:pt idx="12">
                    <c:v>مجموع فرعی </c:v>
                  </c:pt>
                  <c:pt idx="13">
                    <c:v>ولایات</c:v>
                  </c:pt>
                  <c:pt idx="14">
                    <c:v>تخار </c:v>
                  </c:pt>
                  <c:pt idx="18">
                    <c:v>مجموع فرعی </c:v>
                  </c:pt>
                  <c:pt idx="19">
                    <c:v>ولایات</c:v>
                  </c:pt>
                  <c:pt idx="20">
                    <c:v>بدخشان </c:v>
                  </c:pt>
                  <c:pt idx="23">
                    <c:v>مجموع فرعی </c:v>
                  </c:pt>
                  <c:pt idx="24">
                    <c:v>ولایات</c:v>
                  </c:pt>
                  <c:pt idx="25">
                    <c:v>سمنگان </c:v>
                  </c:pt>
                  <c:pt idx="28">
                    <c:v>مجموع فرعی </c:v>
                  </c:pt>
                  <c:pt idx="29">
                    <c:v>ولایات</c:v>
                  </c:pt>
                  <c:pt idx="30">
                    <c:v>پکتیا </c:v>
                  </c:pt>
                  <c:pt idx="32">
                    <c:v>مجموع فرعی </c:v>
                  </c:pt>
                  <c:pt idx="33">
                    <c:v>ولایات</c:v>
                  </c:pt>
                  <c:pt idx="34">
                    <c:v>پکتیکا </c:v>
                  </c:pt>
                  <c:pt idx="36">
                    <c:v>مجموع فرعی </c:v>
                  </c:pt>
                  <c:pt idx="37">
                    <c:v>ولایات</c:v>
                  </c:pt>
                  <c:pt idx="38">
                    <c:v>خوست </c:v>
                  </c:pt>
                  <c:pt idx="40">
                    <c:v>مجموع فرعی </c:v>
                  </c:pt>
                  <c:pt idx="41">
                    <c:v>ولایات</c:v>
                  </c:pt>
                  <c:pt idx="42">
                    <c:v>لوگر </c:v>
                  </c:pt>
                  <c:pt idx="46">
                    <c:v>مجموع فرعی </c:v>
                  </c:pt>
                  <c:pt idx="47">
                    <c:v>ولایات</c:v>
                  </c:pt>
                  <c:pt idx="48">
                    <c:v>کنر </c:v>
                  </c:pt>
                  <c:pt idx="53">
                    <c:v>مجموع فرعی </c:v>
                  </c:pt>
                  <c:pt idx="54">
                    <c:v>ولایات</c:v>
                  </c:pt>
                  <c:pt idx="55">
                    <c:v>پنجشیر </c:v>
                  </c:pt>
                  <c:pt idx="58">
                    <c:v>مجموع فرعی </c:v>
                  </c:pt>
                  <c:pt idx="59">
                    <c:v>ولایات</c:v>
                  </c:pt>
                  <c:pt idx="60">
                    <c:v>دایکندی </c:v>
                  </c:pt>
                  <c:pt idx="63">
                    <c:v>مجموع فرعی </c:v>
                  </c:pt>
                  <c:pt idx="64">
                    <c:v>ولایات</c:v>
                  </c:pt>
                  <c:pt idx="65">
                    <c:v>مرکز </c:v>
                  </c:pt>
                  <c:pt idx="67">
                    <c:v>مجموع فرعی </c:v>
                  </c:pt>
                  <c:pt idx="68">
                    <c:v>مجموعی عمومی تنظیم جنگلات و آبریزه ها</c:v>
                  </c:pt>
                  <c:pt idx="69">
                    <c:v>ج : تنظیم همه جانبه علفچر ونباتات طبی سال 1397</c:v>
                  </c:pt>
                  <c:pt idx="70">
                    <c:v>ولایت</c:v>
                  </c:pt>
                  <c:pt idx="72">
                    <c:v>بدخشان</c:v>
                  </c:pt>
                  <c:pt idx="85">
                    <c:v>مجموع </c:v>
                  </c:pt>
                  <c:pt idx="86">
                    <c:v>ولایات</c:v>
                  </c:pt>
                  <c:pt idx="87">
                    <c:v>بلخ</c:v>
                  </c:pt>
                  <c:pt idx="113">
                    <c:v>مجموع </c:v>
                  </c:pt>
                  <c:pt idx="114">
                    <c:v>ولایات</c:v>
                  </c:pt>
                  <c:pt idx="115">
                    <c:v>بغلان</c:v>
                  </c:pt>
                  <c:pt idx="128">
                    <c:v>مجموع </c:v>
                  </c:pt>
                  <c:pt idx="129">
                    <c:v>ولایات</c:v>
                  </c:pt>
                  <c:pt idx="130">
                    <c:v>جوزجان</c:v>
                  </c:pt>
                  <c:pt idx="156">
                    <c:v>مجموع </c:v>
                  </c:pt>
                  <c:pt idx="157">
                    <c:v>ولایات</c:v>
                  </c:pt>
                  <c:pt idx="158">
                    <c:v>سمنگان</c:v>
                  </c:pt>
                  <c:pt idx="171">
                    <c:v>مجموع </c:v>
                  </c:pt>
                  <c:pt idx="172">
                    <c:v>ولایات</c:v>
                  </c:pt>
                  <c:pt idx="173">
                    <c:v>غزنی</c:v>
                  </c:pt>
                  <c:pt idx="179">
                    <c:v>مجموع </c:v>
                  </c:pt>
                  <c:pt idx="180">
                    <c:v>ولایات</c:v>
                  </c:pt>
                  <c:pt idx="181">
                    <c:v>غور</c:v>
                  </c:pt>
                  <c:pt idx="186">
                    <c:v>مجموع </c:v>
                  </c:pt>
                  <c:pt idx="187">
                    <c:v>ولایات</c:v>
                  </c:pt>
                  <c:pt idx="188">
                    <c:v>فاریاب </c:v>
                  </c:pt>
                  <c:pt idx="215">
                    <c:v>مجموع </c:v>
                  </c:pt>
                  <c:pt idx="216">
                    <c:v>ولایات</c:v>
                  </c:pt>
                  <c:pt idx="217">
                    <c:v>هرات </c:v>
                  </c:pt>
                  <c:pt idx="236">
                    <c:v>مجموع </c:v>
                  </c:pt>
                  <c:pt idx="237">
                    <c:v>ولایات</c:v>
                  </c:pt>
                  <c:pt idx="238">
                    <c:v>بادغیس</c:v>
                  </c:pt>
                  <c:pt idx="244">
                    <c:v>مجموع </c:v>
                  </c:pt>
                  <c:pt idx="245">
                    <c:v>ولایات</c:v>
                  </c:pt>
                  <c:pt idx="246">
                    <c:v>دایکندی</c:v>
                  </c:pt>
                  <c:pt idx="252">
                    <c:v>مجموع </c:v>
                  </c:pt>
                  <c:pt idx="253">
                    <c:v>ولایات</c:v>
                  </c:pt>
                  <c:pt idx="254">
                    <c:v>پنجشیر</c:v>
                  </c:pt>
                  <c:pt idx="260">
                    <c:v>مجموع </c:v>
                  </c:pt>
                  <c:pt idx="261">
                    <c:v>ولایات</c:v>
                  </c:pt>
                  <c:pt idx="262">
                    <c:v>میدان وردگ</c:v>
                  </c:pt>
                  <c:pt idx="268">
                    <c:v>مجموع </c:v>
                  </c:pt>
                  <c:pt idx="269">
                    <c:v>ولایات</c:v>
                  </c:pt>
                  <c:pt idx="270">
                    <c:v>تخار</c:v>
                  </c:pt>
                  <c:pt idx="282">
                    <c:v>مجموع </c:v>
                  </c:pt>
                  <c:pt idx="283">
                    <c:v>ولایات</c:v>
                  </c:pt>
                  <c:pt idx="284">
                    <c:v>بامیان</c:v>
                  </c:pt>
                  <c:pt idx="296">
                    <c:v>مجموع فرعی</c:v>
                  </c:pt>
                  <c:pt idx="297">
                    <c:v>مرکز </c:v>
                  </c:pt>
                  <c:pt idx="299">
                    <c:v>مجموع فرعی</c:v>
                  </c:pt>
                  <c:pt idx="300">
                    <c:v>مجموع بودجه بخش تنظیم علفچر ها و نباتات طبی</c:v>
                  </c:pt>
                  <c:pt idx="301">
                    <c:v>  ج : احیای فارم ها و جنگل باغ ها غرض گسترش فضای سبز</c:v>
                  </c:pt>
                  <c:pt idx="302">
                    <c:v>ولایات</c:v>
                  </c:pt>
                  <c:pt idx="303">
                    <c:v>کابل </c:v>
                  </c:pt>
                  <c:pt idx="310">
                    <c:v>مجموعی فرعی</c:v>
                  </c:pt>
                  <c:pt idx="311">
                    <c:v>پروان </c:v>
                  </c:pt>
                  <c:pt idx="318">
                    <c:v>مجموعی فرعی</c:v>
                  </c:pt>
                  <c:pt idx="319">
                    <c:v>کاپیسا</c:v>
                  </c:pt>
                  <c:pt idx="326">
                    <c:v>مجموعی فرعی</c:v>
                  </c:pt>
                  <c:pt idx="327">
                    <c:v>میدان وردک</c:v>
                  </c:pt>
                  <c:pt idx="333">
                    <c:v>مجموعی فرعی</c:v>
                  </c:pt>
                  <c:pt idx="334">
                    <c:v>پنجشیر</c:v>
                  </c:pt>
                  <c:pt idx="341">
                    <c:v>مجموعی فرعی</c:v>
                  </c:pt>
                  <c:pt idx="342">
                    <c:v>بامیان</c:v>
                  </c:pt>
                  <c:pt idx="347">
                    <c:v>مجموعی فرعی</c:v>
                  </c:pt>
                  <c:pt idx="348">
                    <c:v>بلخ</c:v>
                  </c:pt>
                  <c:pt idx="356">
                    <c:v>مجموعی فرعی</c:v>
                  </c:pt>
                  <c:pt idx="357">
                    <c:v>فاریاب </c:v>
                  </c:pt>
                  <c:pt idx="364">
                    <c:v>مجموعی فرعی</c:v>
                  </c:pt>
                  <c:pt idx="365">
                    <c:v>جوزجان</c:v>
                  </c:pt>
                  <c:pt idx="372">
                    <c:v>مجموعی فرعی</c:v>
                  </c:pt>
                  <c:pt idx="373">
                    <c:v>سمنگان</c:v>
                  </c:pt>
                  <c:pt idx="381">
                    <c:v>مجموعی فرعی</c:v>
                  </c:pt>
                  <c:pt idx="382">
                    <c:v>سرپل</c:v>
                  </c:pt>
                  <c:pt idx="389">
                    <c:v>مجموعی فرعی</c:v>
                  </c:pt>
                  <c:pt idx="390">
                    <c:v>پکتیا</c:v>
                  </c:pt>
                  <c:pt idx="397">
                    <c:v>مجموعی فرعی</c:v>
                  </c:pt>
                  <c:pt idx="398">
                    <c:v>غزنی</c:v>
                  </c:pt>
                  <c:pt idx="407">
                    <c:v>مجموعی فرعی</c:v>
                  </c:pt>
                  <c:pt idx="408">
                    <c:v>پکتیکا</c:v>
                  </c:pt>
                  <c:pt idx="415">
                    <c:v>مجموعی فرعی</c:v>
                  </c:pt>
                  <c:pt idx="416">
                    <c:v>خوست </c:v>
                  </c:pt>
                  <c:pt idx="422">
                    <c:v>مجموعی فرعی</c:v>
                  </c:pt>
                  <c:pt idx="423">
                    <c:v>ننگرهار</c:v>
                  </c:pt>
                  <c:pt idx="438">
                    <c:v>مجموعی فرعی</c:v>
                  </c:pt>
                  <c:pt idx="439">
                    <c:v>لغمان </c:v>
                  </c:pt>
                  <c:pt idx="446">
                    <c:v>مجموعی فرعی</c:v>
                  </c:pt>
                  <c:pt idx="447">
                    <c:v>کنر</c:v>
                  </c:pt>
                  <c:pt idx="455">
                    <c:v>مجموعی فرعی</c:v>
                  </c:pt>
                  <c:pt idx="456">
                    <c:v>هرات</c:v>
                  </c:pt>
                  <c:pt idx="463">
                    <c:v>مجموعی فرعی</c:v>
                  </c:pt>
                  <c:pt idx="464">
                    <c:v>فراه</c:v>
                  </c:pt>
                  <c:pt idx="472">
                    <c:v>مجموعی فرعی</c:v>
                  </c:pt>
                  <c:pt idx="473">
                    <c:v>غور </c:v>
                  </c:pt>
                  <c:pt idx="480">
                    <c:v>مجموعی فرعی</c:v>
                  </c:pt>
                  <c:pt idx="481">
                    <c:v>بادغیس </c:v>
                  </c:pt>
                  <c:pt idx="488">
                    <c:v>مجموعی فرعی</c:v>
                  </c:pt>
                  <c:pt idx="489">
                    <c:v>بدخشان </c:v>
                  </c:pt>
                  <c:pt idx="496">
                    <c:v>مجموعی فرعی</c:v>
                  </c:pt>
                  <c:pt idx="497">
                    <c:v>بغلان </c:v>
                  </c:pt>
                  <c:pt idx="504">
                    <c:v>مجموعی فرعی</c:v>
                  </c:pt>
                  <c:pt idx="505">
                    <c:v>تخار</c:v>
                  </c:pt>
                  <c:pt idx="512">
                    <c:v>مجموعی فرعی</c:v>
                  </c:pt>
                  <c:pt idx="513">
                    <c:v>کند هار</c:v>
                  </c:pt>
                  <c:pt idx="519">
                    <c:v>مجموعی فرعی</c:v>
                  </c:pt>
                  <c:pt idx="520">
                    <c:v>هلمند</c:v>
                  </c:pt>
                  <c:pt idx="527">
                    <c:v>مجموعی فرعی</c:v>
                  </c:pt>
                  <c:pt idx="528">
                    <c:v>دایکندی</c:v>
                  </c:pt>
                  <c:pt idx="535">
                    <c:v>مجموعی فرعی</c:v>
                  </c:pt>
                  <c:pt idx="536">
                    <c:v>مجموع بودجه بخش احیای فارم ها و تولید نها</c:v>
                  </c:pt>
                  <c:pt idx="537">
                    <c:v>د :انکشاف ایکوسیستم های با ارزش طبیعی </c:v>
                  </c:pt>
                  <c:pt idx="538">
                    <c:v>ولایات</c:v>
                  </c:pt>
                  <c:pt idx="539">
                    <c:v>بامیان</c:v>
                  </c:pt>
                  <c:pt idx="543">
                    <c:v>مجموع فرعی</c:v>
                  </c:pt>
                  <c:pt idx="544">
                    <c:v>ولایات</c:v>
                  </c:pt>
                  <c:pt idx="545">
                    <c:v>بدخشان</c:v>
                  </c:pt>
                  <c:pt idx="547">
                    <c:v>مجموع فرعی</c:v>
                  </c:pt>
                  <c:pt idx="548">
                    <c:v>ولایات</c:v>
                  </c:pt>
                  <c:pt idx="549">
                    <c:v>کابل </c:v>
                  </c:pt>
                  <c:pt idx="550">
                    <c:v>مجموع فرعی</c:v>
                  </c:pt>
                  <c:pt idx="551">
                    <c:v>مجموع بودجه اکوسیستم های بار ارزش طبیعی </c:v>
                  </c:pt>
                  <c:pt idx="552">
                    <c:v>مصارف متفرقه در مرکز وزارت</c:v>
                  </c:pt>
                  <c:pt idx="553">
                    <c:v>مرکز </c:v>
                  </c:pt>
                  <c:pt idx="554">
                    <c:v>مرکز </c:v>
                  </c:pt>
                  <c:pt idx="555">
                    <c:v>مجموع فرعی</c:v>
                  </c:pt>
                  <c:pt idx="556">
                    <c:v>پلان کاری توحیدی سالانه برنامه ملی تنظیم منابع طبیعی  برای سال 1397</c:v>
                  </c:pt>
                  <c:pt idx="557">
                    <c:v>مقصد مشخص</c:v>
                  </c:pt>
                  <c:pt idx="558">
                    <c:v>الف</c:v>
                  </c:pt>
                  <c:pt idx="559">
                    <c:v>ب</c:v>
                  </c:pt>
                  <c:pt idx="560">
                    <c:v>ج </c:v>
                  </c:pt>
                  <c:pt idx="561">
                    <c:v>د</c:v>
                  </c:pt>
                  <c:pt idx="562">
                    <c:v>مصارف متفرقه</c:v>
                  </c:pt>
                  <c:pt idx="563">
                    <c:v>مجموع عمومی برنامه در سال 1397 به افغانی</c:v>
                  </c:pt>
                  <c:pt idx="564">
                    <c:v>ترتیب کنند گان</c:v>
                  </c:pt>
                  <c:pt idx="565">
                    <c:v>اسم </c:v>
                  </c:pt>
                  <c:pt idx="570">
                    <c:v>                  مرور و چک کننده گان </c:v>
                  </c:pt>
                  <c:pt idx="574">
                    <c:v>                  توحید کننده:</c:v>
                  </c:pt>
                </c:lvl>
              </c:multiLvlStrCache>
            </c:multiLvlStrRef>
          </c:cat>
          <c:val>
            <c:numRef>
              <c:f>'پلان گاری سالانه با نواقص'!$P$1:$P$579</c:f>
              <c:numCache>
                <c:formatCode>General</c:formatCode>
                <c:ptCount val="579"/>
                <c:pt idx="318" formatCode="_(* #,##0_);_(* \(#,##0\);_(* &quot;-&quot;??_);_(@_)">
                  <c:v>2506</c:v>
                </c:pt>
              </c:numCache>
            </c:numRef>
          </c:val>
          <c:extLst>
            <c:ext xmlns:c16="http://schemas.microsoft.com/office/drawing/2014/chart" uri="{C3380CC4-5D6E-409C-BE32-E72D297353CC}">
              <c16:uniqueId val="{00000004-D0A8-43A3-B2BA-CC7AF60235AB}"/>
            </c:ext>
          </c:extLst>
        </c:ser>
        <c:dLbls>
          <c:showLegendKey val="0"/>
          <c:showVal val="0"/>
          <c:showCatName val="0"/>
          <c:showSerName val="0"/>
          <c:showPercent val="0"/>
          <c:showBubbleSize val="0"/>
        </c:dLbls>
        <c:gapWidth val="150"/>
        <c:axId val="164713600"/>
        <c:axId val="164715136"/>
      </c:barChart>
      <c:catAx>
        <c:axId val="164713600"/>
        <c:scaling>
          <c:orientation val="minMax"/>
        </c:scaling>
        <c:delete val="0"/>
        <c:axPos val="b"/>
        <c:numFmt formatCode="General" sourceLinked="0"/>
        <c:majorTickMark val="out"/>
        <c:minorTickMark val="none"/>
        <c:tickLblPos val="nextTo"/>
        <c:crossAx val="164715136"/>
        <c:crosses val="autoZero"/>
        <c:auto val="1"/>
        <c:lblAlgn val="ctr"/>
        <c:lblOffset val="100"/>
        <c:noMultiLvlLbl val="0"/>
      </c:catAx>
      <c:valAx>
        <c:axId val="164715136"/>
        <c:scaling>
          <c:orientation val="minMax"/>
        </c:scaling>
        <c:delete val="0"/>
        <c:axPos val="l"/>
        <c:majorGridlines/>
        <c:numFmt formatCode="General" sourceLinked="1"/>
        <c:majorTickMark val="out"/>
        <c:minorTickMark val="none"/>
        <c:tickLblPos val="nextTo"/>
        <c:crossAx val="16471360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8670192" cy="628894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5</xdr:col>
      <xdr:colOff>152401</xdr:colOff>
      <xdr:row>0</xdr:row>
      <xdr:rowOff>0</xdr:rowOff>
    </xdr:from>
    <xdr:to>
      <xdr:col>7</xdr:col>
      <xdr:colOff>38497</xdr:colOff>
      <xdr:row>3</xdr:row>
      <xdr:rowOff>19050</xdr:rowOff>
    </xdr:to>
    <xdr:pic>
      <xdr:nvPicPr>
        <xdr:cNvPr id="2" name="Picture 2" descr="Gov Logo 300dpi"/>
        <xdr:cNvPicPr>
          <a:picLocks noChangeAspect="1" noChangeArrowheads="1"/>
        </xdr:cNvPicPr>
      </xdr:nvPicPr>
      <xdr:blipFill>
        <a:blip xmlns:r="http://schemas.openxmlformats.org/officeDocument/2006/relationships" r:embed="rId1" cstate="print"/>
        <a:srcRect/>
        <a:stretch>
          <a:fillRect/>
        </a:stretch>
      </xdr:blipFill>
      <xdr:spPr bwMode="auto">
        <a:xfrm>
          <a:off x="9984504653" y="0"/>
          <a:ext cx="724296" cy="704850"/>
        </a:xfrm>
        <a:prstGeom prst="rect">
          <a:avLst/>
        </a:prstGeom>
        <a:noFill/>
      </xdr:spPr>
    </xdr:pic>
    <xdr:clientData/>
  </xdr:twoCellAnchor>
  <xdr:twoCellAnchor>
    <xdr:from>
      <xdr:col>20</xdr:col>
      <xdr:colOff>338668</xdr:colOff>
      <xdr:row>0</xdr:row>
      <xdr:rowOff>104775</xdr:rowOff>
    </xdr:from>
    <xdr:to>
      <xdr:col>21</xdr:col>
      <xdr:colOff>371478</xdr:colOff>
      <xdr:row>3</xdr:row>
      <xdr:rowOff>85725</xdr:rowOff>
    </xdr:to>
    <xdr:sp macro="" textlink="">
      <xdr:nvSpPr>
        <xdr:cNvPr id="3" name="Rectangle 4" descr="MAIL"/>
        <xdr:cNvSpPr>
          <a:spLocks noChangeArrowheads="1"/>
        </xdr:cNvSpPr>
      </xdr:nvSpPr>
      <xdr:spPr bwMode="auto">
        <a:xfrm>
          <a:off x="10043614022" y="104775"/>
          <a:ext cx="752476" cy="679450"/>
        </a:xfrm>
        <a:prstGeom prst="rect">
          <a:avLst/>
        </a:prstGeom>
        <a:blipFill dpi="0" rotWithShape="1">
          <a:blip xmlns:r="http://schemas.openxmlformats.org/officeDocument/2006/relationships" r:embed="rId2" cstate="print"/>
          <a:srcRect/>
          <a:stretch>
            <a:fillRect/>
          </a:stretch>
        </a:blip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266700</xdr:colOff>
          <xdr:row>6</xdr:row>
          <xdr:rowOff>38100</xdr:rowOff>
        </xdr:from>
        <xdr:to>
          <xdr:col>7</xdr:col>
          <xdr:colOff>647700</xdr:colOff>
          <xdr:row>6</xdr:row>
          <xdr:rowOff>142875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438150</xdr:colOff>
          <xdr:row>6</xdr:row>
          <xdr:rowOff>28575</xdr:rowOff>
        </xdr:from>
        <xdr:to>
          <xdr:col>8</xdr:col>
          <xdr:colOff>819150</xdr:colOff>
          <xdr:row>6</xdr:row>
          <xdr:rowOff>133350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266700</xdr:colOff>
          <xdr:row>0</xdr:row>
          <xdr:rowOff>0</xdr:rowOff>
        </xdr:from>
        <xdr:to>
          <xdr:col>7</xdr:col>
          <xdr:colOff>647700</xdr:colOff>
          <xdr:row>0</xdr:row>
          <xdr:rowOff>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438150</xdr:colOff>
          <xdr:row>0</xdr:row>
          <xdr:rowOff>0</xdr:rowOff>
        </xdr:from>
        <xdr:to>
          <xdr:col>8</xdr:col>
          <xdr:colOff>819150</xdr:colOff>
          <xdr:row>0</xdr:row>
          <xdr:rowOff>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266700</xdr:colOff>
          <xdr:row>0</xdr:row>
          <xdr:rowOff>0</xdr:rowOff>
        </xdr:from>
        <xdr:to>
          <xdr:col>7</xdr:col>
          <xdr:colOff>647700</xdr:colOff>
          <xdr:row>0</xdr:row>
          <xdr:rowOff>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438150</xdr:colOff>
          <xdr:row>0</xdr:row>
          <xdr:rowOff>0</xdr:rowOff>
        </xdr:from>
        <xdr:to>
          <xdr:col>8</xdr:col>
          <xdr:colOff>819150</xdr:colOff>
          <xdr:row>0</xdr:row>
          <xdr:rowOff>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266700</xdr:colOff>
          <xdr:row>6</xdr:row>
          <xdr:rowOff>38100</xdr:rowOff>
        </xdr:from>
        <xdr:to>
          <xdr:col>7</xdr:col>
          <xdr:colOff>647700</xdr:colOff>
          <xdr:row>6</xdr:row>
          <xdr:rowOff>142875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438150</xdr:colOff>
          <xdr:row>6</xdr:row>
          <xdr:rowOff>28575</xdr:rowOff>
        </xdr:from>
        <xdr:to>
          <xdr:col>8</xdr:col>
          <xdr:colOff>819150</xdr:colOff>
          <xdr:row>6</xdr:row>
          <xdr:rowOff>133350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18288" tIns="0" rIns="0" bIns="0" anchor="ctr" upright="1"/>
            <a:lstStyle/>
            <a:p>
              <a:pPr algn="r" rtl="0">
                <a:defRPr sz="1000"/>
              </a:pPr>
              <a:endParaRPr lang="en-US"/>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hmad.shah/Desktop/&#1662;&#1585;&#1608;&#1688;&#1607;%20&#1602;&#1608;&#1585;&#1740;&#1580;&#1575;&#1578;%20&#1587;&#1575;&#1604;%201397/&#1580;&#1583;&#1608;&#1604;%20&#1578;&#1602;&#1587;&#1740;&#1605;&#1575;&#1578;%20&#1576;&#1608;&#1583;&#1580;&#1608;&#1740;%20&#1576;&#1607;%20&#1587;&#1591;&#1581;%20&#1608;&#1604;&#1575;&#1740;&#1575;&#1578;%20&#1576;&#1585;&#1575;&#1740;%20&#1587;&#1575;&#1604;%20139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esktop/&#1580;&#1583;&#1608;&#1604;%20&#1580;&#1583;&#1740;&#1583;%20&#1662;&#1604;&#1575;&#1606;%20&#1662;&#1585;&#1608;&#1688;&#1607;%20&#1607;&#1575;&#1740;%20&#1575;&#1606;&#1705;&#1588;&#1575;&#1601;&#1740;%20&#1587;&#1575;&#1604;%201396%20&#1576;&#1607;%20&#1578;&#1601;&#1705;&#1740;&#1705;%20&#1608;&#1604;&#1575;&#1740;&#1575;&#1578;%20(Autosav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ELL/Desktop/&#1605;&#1587;&#1608;&#1583;&#1607;%20&#1583;&#1608;&#1605;%20&#1662;&#1604;&#1575;&#1606;%20&#1605;&#1575;&#1604;&#17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پلان سالانه "/>
      <sheetName val="B4"/>
      <sheetName val="جدول عمومی بودجه"/>
      <sheetName val="جدول بودجوی به افغانی"/>
      <sheetName val="جدول توحیدی فعالیت ها"/>
      <sheetName val="کابل "/>
      <sheetName val="پروان "/>
      <sheetName val="کاپیسا"/>
      <sheetName val="میدان وردک"/>
      <sheetName val="پنجشیر"/>
      <sheetName val="بامیان "/>
      <sheetName val="بلخ "/>
      <sheetName val="فاریاب "/>
      <sheetName val="جوزجان"/>
      <sheetName val="سمنگان"/>
      <sheetName val="سرپل"/>
      <sheetName val="پکتیا"/>
      <sheetName val="غزنی"/>
      <sheetName val="پکتیکا"/>
      <sheetName val="خوست "/>
      <sheetName val="ننگرهار"/>
      <sheetName val="لغمان"/>
      <sheetName val="کنر"/>
      <sheetName val="هرات"/>
      <sheetName val="فراه"/>
      <sheetName val="غور"/>
      <sheetName val="بادغیس"/>
      <sheetName val="بدخشان "/>
      <sheetName val="بغلان "/>
      <sheetName val="تخار"/>
      <sheetName val="کندهار"/>
      <sheetName val="هلمند"/>
      <sheetName val="دایکندی"/>
    </sheetNames>
    <sheetDataSet>
      <sheetData sheetId="0"/>
      <sheetData sheetId="1"/>
      <sheetData sheetId="2">
        <row r="6">
          <cell r="G6">
            <v>10865694</v>
          </cell>
        </row>
        <row r="16">
          <cell r="G16">
            <v>585102</v>
          </cell>
        </row>
        <row r="31">
          <cell r="H31">
            <v>2813000</v>
          </cell>
          <cell r="I31">
            <v>1900000</v>
          </cell>
          <cell r="J31">
            <v>1031500</v>
          </cell>
        </row>
      </sheetData>
      <sheetData sheetId="3">
        <row r="33">
          <cell r="C33">
            <v>2190000</v>
          </cell>
          <cell r="D33">
            <v>193333.33333333331</v>
          </cell>
          <cell r="E33">
            <v>4880000</v>
          </cell>
          <cell r="F33">
            <v>83772</v>
          </cell>
          <cell r="G33">
            <v>313400</v>
          </cell>
          <cell r="H33">
            <v>474000</v>
          </cell>
          <cell r="I33">
            <v>136000</v>
          </cell>
          <cell r="J33">
            <v>20000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H14">
            <v>133333.33333333334</v>
          </cell>
        </row>
        <row r="15">
          <cell r="H15">
            <v>66666.666666666672</v>
          </cell>
        </row>
        <row r="16">
          <cell r="H16">
            <v>66666.666666666672</v>
          </cell>
        </row>
        <row r="19">
          <cell r="H19">
            <v>14000</v>
          </cell>
        </row>
        <row r="20">
          <cell r="H20">
            <v>18000</v>
          </cell>
        </row>
        <row r="21">
          <cell r="H21">
            <v>17500</v>
          </cell>
        </row>
        <row r="24">
          <cell r="H24">
            <v>800000</v>
          </cell>
        </row>
      </sheetData>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بادغیس "/>
      <sheetName val="بامیان "/>
      <sheetName val="بدخشان "/>
      <sheetName val="بغلان "/>
      <sheetName val="بلخ "/>
      <sheetName val="پروان"/>
      <sheetName val="تخار"/>
      <sheetName val="جوزجان "/>
      <sheetName val="سرپل"/>
      <sheetName val="سمنگان "/>
      <sheetName val="فاریاب"/>
      <sheetName val="فراه"/>
      <sheetName val="غزنی"/>
      <sheetName val="غور"/>
      <sheetName val="هرات"/>
      <sheetName val="مرکز وزارت"/>
      <sheetName val="خلاصه "/>
      <sheetName val="جدول منطقی"/>
      <sheetName val="جدول راپوردهی "/>
      <sheetName val="پلان نظارت وارزیابی"/>
      <sheetName val="دایکندی "/>
      <sheetName val="میدان وردک "/>
      <sheetName val="نیمروز"/>
      <sheetName val="مرک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6">
          <cell r="G36">
            <v>4208346</v>
          </cell>
        </row>
      </sheetData>
      <sheetData sheetId="8" refreshError="1"/>
      <sheetData sheetId="9" refreshError="1"/>
      <sheetData sheetId="10" refreshError="1">
        <row r="22">
          <cell r="G22">
            <v>3054853.0346108912</v>
          </cell>
        </row>
      </sheetData>
      <sheetData sheetId="11" refreshError="1">
        <row r="29">
          <cell r="G29">
            <v>4411438</v>
          </cell>
        </row>
      </sheetData>
      <sheetData sheetId="12" refreshError="1"/>
      <sheetData sheetId="13" refreshError="1">
        <row r="37">
          <cell r="G37">
            <v>3065806</v>
          </cell>
        </row>
      </sheetData>
      <sheetData sheetId="14" refreshError="1">
        <row r="36">
          <cell r="H36">
            <v>4504346</v>
          </cell>
        </row>
      </sheetData>
      <sheetData sheetId="15" refreshError="1"/>
      <sheetData sheetId="16" refreshError="1">
        <row r="20">
          <cell r="C20">
            <v>600000</v>
          </cell>
        </row>
        <row r="21">
          <cell r="C21">
            <v>46059709.03461089</v>
          </cell>
        </row>
      </sheetData>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بودجه ولایتی 1396"/>
      <sheetName val="بودجه توحیدی "/>
      <sheetName val="توحیدی فعالیت ها"/>
      <sheetName val="B4 "/>
      <sheetName val="جدول استخدام محافظین"/>
      <sheetName val="جدول مالی نهالشانی کابل"/>
      <sheetName val="پلان تطبیقی بودجوی به تفکیک سال"/>
    </sheetNames>
    <sheetDataSet>
      <sheetData sheetId="0">
        <row r="25">
          <cell r="G25">
            <v>2000000</v>
          </cell>
        </row>
        <row r="255">
          <cell r="G255">
            <v>300000</v>
          </cell>
        </row>
        <row r="256">
          <cell r="G256">
            <v>3000000</v>
          </cell>
        </row>
        <row r="259">
          <cell r="G259">
            <v>160000</v>
          </cell>
        </row>
        <row r="302">
          <cell r="G302">
            <v>0</v>
          </cell>
        </row>
        <row r="315">
          <cell r="G315">
            <v>250000</v>
          </cell>
        </row>
        <row r="328">
          <cell r="G328" t="str">
            <v>ارزش مالی به افغانی</v>
          </cell>
        </row>
        <row r="384">
          <cell r="G384">
            <v>0</v>
          </cell>
        </row>
        <row r="394">
          <cell r="G394" t="str">
            <v>ارزش مالی به افغانی</v>
          </cell>
        </row>
        <row r="397">
          <cell r="G397">
            <v>120750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ctrlProp" Target="../ctrlProps/ctrlProp2.xml"/><Relationship Id="rId2" Type="http://schemas.openxmlformats.org/officeDocument/2006/relationships/hyperlink" Target="mailto:refauddin.amini@mail.gov.af" TargetMode="External"/><Relationship Id="rId1" Type="http://schemas.openxmlformats.org/officeDocument/2006/relationships/hyperlink" Target="mailto:refauddin.amini@mail.gov.af"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8" Type="http://schemas.openxmlformats.org/officeDocument/2006/relationships/hyperlink" Target="mailto:sayedamin_58@yahoo.com" TargetMode="External"/><Relationship Id="rId13" Type="http://schemas.openxmlformats.org/officeDocument/2006/relationships/ctrlProp" Target="../ctrlProps/ctrlProp4.xml"/><Relationship Id="rId3" Type="http://schemas.openxmlformats.org/officeDocument/2006/relationships/hyperlink" Target="mailto:refauddin.amini@mail.gov.af" TargetMode="External"/><Relationship Id="rId7" Type="http://schemas.openxmlformats.org/officeDocument/2006/relationships/hyperlink" Target="mailto:sayedamin_58@yahoo.com" TargetMode="External"/><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mailto:refauddin.amini@mail.gov.af" TargetMode="External"/><Relationship Id="rId16" Type="http://schemas.openxmlformats.org/officeDocument/2006/relationships/ctrlProp" Target="../ctrlProps/ctrlProp7.xml"/><Relationship Id="rId1" Type="http://schemas.openxmlformats.org/officeDocument/2006/relationships/hyperlink" Target="mailto:refauddin.amini@mail.gov.af" TargetMode="External"/><Relationship Id="rId6" Type="http://schemas.openxmlformats.org/officeDocument/2006/relationships/hyperlink" Target="mailto:sayedamin_58@yahoo.com" TargetMode="External"/><Relationship Id="rId11" Type="http://schemas.openxmlformats.org/officeDocument/2006/relationships/vmlDrawing" Target="../drawings/vmlDrawing3.vml"/><Relationship Id="rId5" Type="http://schemas.openxmlformats.org/officeDocument/2006/relationships/hyperlink" Target="mailto:sayedamin_58@yahoo.com" TargetMode="External"/><Relationship Id="rId15" Type="http://schemas.openxmlformats.org/officeDocument/2006/relationships/ctrlProp" Target="../ctrlProps/ctrlProp6.xml"/><Relationship Id="rId10" Type="http://schemas.openxmlformats.org/officeDocument/2006/relationships/drawing" Target="../drawings/drawing4.xml"/><Relationship Id="rId4" Type="http://schemas.openxmlformats.org/officeDocument/2006/relationships/hyperlink" Target="mailto:refauddin.amini@mail.gov.af" TargetMode="External"/><Relationship Id="rId9" Type="http://schemas.openxmlformats.org/officeDocument/2006/relationships/printerSettings" Target="../printerSettings/printerSettings7.bin"/><Relationship Id="rId1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rightToLeft="1" tabSelected="1" view="pageBreakPreview" zoomScaleNormal="90" zoomScaleSheetLayoutView="100" zoomScalePageLayoutView="80" workbookViewId="0">
      <selection activeCell="A3" sqref="A3"/>
    </sheetView>
  </sheetViews>
  <sheetFormatPr defaultRowHeight="15"/>
  <cols>
    <col min="1" max="1" width="62" customWidth="1"/>
    <col min="2" max="2" width="15.42578125" customWidth="1"/>
    <col min="3" max="3" width="17.5703125" customWidth="1"/>
    <col min="4" max="4" width="17.28515625" customWidth="1"/>
    <col min="5" max="5" width="20.5703125" style="103" customWidth="1"/>
    <col min="6" max="6" width="32.140625" customWidth="1"/>
  </cols>
  <sheetData>
    <row r="1" spans="1:6" s="627" customFormat="1" ht="30" customHeight="1">
      <c r="A1" s="979" t="s">
        <v>1208</v>
      </c>
      <c r="B1" s="979"/>
      <c r="C1" s="979"/>
      <c r="D1" s="979"/>
      <c r="E1" s="979"/>
      <c r="F1" s="979"/>
    </row>
    <row r="2" spans="1:6" s="627" customFormat="1" ht="28.5" customHeight="1">
      <c r="A2" s="980" t="s">
        <v>594</v>
      </c>
      <c r="B2" s="981"/>
      <c r="C2" s="981"/>
      <c r="D2" s="981"/>
      <c r="E2" s="981"/>
      <c r="F2" s="982"/>
    </row>
    <row r="3" spans="1:6" s="627" customFormat="1" ht="24.75" customHeight="1">
      <c r="A3" s="639" t="s">
        <v>510</v>
      </c>
      <c r="B3" s="640" t="s">
        <v>1</v>
      </c>
      <c r="C3" s="641" t="s">
        <v>2</v>
      </c>
      <c r="D3" s="642" t="s">
        <v>3</v>
      </c>
      <c r="E3" s="668" t="s">
        <v>1197</v>
      </c>
      <c r="F3" s="643" t="s">
        <v>864</v>
      </c>
    </row>
    <row r="4" spans="1:6" s="627" customFormat="1" ht="31.5">
      <c r="A4" s="471" t="s">
        <v>1011</v>
      </c>
      <c r="B4" s="666" t="s">
        <v>7</v>
      </c>
      <c r="C4" s="659" t="s">
        <v>767</v>
      </c>
      <c r="D4" s="659" t="s">
        <v>768</v>
      </c>
      <c r="E4" s="637" t="e">
        <f>E5</f>
        <v>#REF!</v>
      </c>
      <c r="F4" s="471"/>
    </row>
    <row r="5" spans="1:6" s="627" customFormat="1" ht="47.25">
      <c r="A5" s="623" t="s">
        <v>1200</v>
      </c>
      <c r="B5" s="667" t="s">
        <v>7</v>
      </c>
      <c r="C5" s="658" t="s">
        <v>767</v>
      </c>
      <c r="D5" s="658" t="s">
        <v>768</v>
      </c>
      <c r="E5" s="638" t="e">
        <f>SUM(E6:E8)</f>
        <v>#REF!</v>
      </c>
      <c r="F5" s="623" t="s">
        <v>8</v>
      </c>
    </row>
    <row r="6" spans="1:6" s="627" customFormat="1" ht="30" customHeight="1">
      <c r="A6" s="629" t="s">
        <v>858</v>
      </c>
      <c r="B6" s="644" t="s">
        <v>7</v>
      </c>
      <c r="C6" s="645" t="s">
        <v>767</v>
      </c>
      <c r="D6" s="646" t="s">
        <v>768</v>
      </c>
      <c r="E6" s="669">
        <v>0</v>
      </c>
      <c r="F6" s="630" t="s">
        <v>8</v>
      </c>
    </row>
    <row r="7" spans="1:6" s="627" customFormat="1" ht="33" customHeight="1">
      <c r="A7" s="629" t="s">
        <v>1199</v>
      </c>
      <c r="B7" s="644" t="s">
        <v>7</v>
      </c>
      <c r="C7" s="645" t="s">
        <v>767</v>
      </c>
      <c r="D7" s="646" t="s">
        <v>768</v>
      </c>
      <c r="E7" s="669">
        <f>64*100000</f>
        <v>6400000</v>
      </c>
      <c r="F7" s="630" t="s">
        <v>8</v>
      </c>
    </row>
    <row r="8" spans="1:6" s="627" customFormat="1" ht="19.5" customHeight="1">
      <c r="A8" s="629" t="s">
        <v>1198</v>
      </c>
      <c r="B8" s="644"/>
      <c r="C8" s="645" t="s">
        <v>767</v>
      </c>
      <c r="D8" s="646" t="s">
        <v>768</v>
      </c>
      <c r="E8" s="669" t="e">
        <f>#REF!+#REF!+#REF!+#REF!+#REF!+#REF!+#REF!+#REF!+#REF!</f>
        <v>#REF!</v>
      </c>
      <c r="F8" s="630"/>
    </row>
    <row r="9" spans="1:6" s="627" customFormat="1" ht="24.75" customHeight="1">
      <c r="A9" s="471" t="s">
        <v>1012</v>
      </c>
      <c r="B9" s="666" t="s">
        <v>7</v>
      </c>
      <c r="C9" s="659" t="s">
        <v>767</v>
      </c>
      <c r="D9" s="659" t="s">
        <v>768</v>
      </c>
      <c r="E9" s="637">
        <f>E10</f>
        <v>1040000</v>
      </c>
      <c r="F9" s="471" t="s">
        <v>8</v>
      </c>
    </row>
    <row r="10" spans="1:6" s="627" customFormat="1" ht="34.5" customHeight="1">
      <c r="A10" s="623" t="s">
        <v>1013</v>
      </c>
      <c r="B10" s="667" t="s">
        <v>7</v>
      </c>
      <c r="C10" s="658" t="s">
        <v>767</v>
      </c>
      <c r="D10" s="658" t="s">
        <v>768</v>
      </c>
      <c r="E10" s="638">
        <f>E11</f>
        <v>1040000</v>
      </c>
      <c r="F10" s="623" t="s">
        <v>8</v>
      </c>
    </row>
    <row r="11" spans="1:6" s="627" customFormat="1" ht="30.75" customHeight="1">
      <c r="A11" s="622" t="s">
        <v>859</v>
      </c>
      <c r="B11" s="647" t="s">
        <v>7</v>
      </c>
      <c r="C11" s="648" t="s">
        <v>767</v>
      </c>
      <c r="D11" s="646" t="s">
        <v>768</v>
      </c>
      <c r="E11" s="670">
        <f>'پلان گاری سالانه با نواقص'!I45+'پلان گاری سالانه با نواقص'!I17+'پلان گاری سالانه با نواقص'!I52</f>
        <v>1040000</v>
      </c>
      <c r="F11" s="631" t="s">
        <v>8</v>
      </c>
    </row>
    <row r="12" spans="1:6" s="627" customFormat="1" ht="31.5">
      <c r="A12" s="471" t="s">
        <v>1202</v>
      </c>
      <c r="B12" s="666" t="s">
        <v>7</v>
      </c>
      <c r="C12" s="659" t="s">
        <v>767</v>
      </c>
      <c r="D12" s="659" t="s">
        <v>768</v>
      </c>
      <c r="E12" s="637" t="e">
        <f>E13</f>
        <v>#REF!</v>
      </c>
      <c r="F12" s="471" t="s">
        <v>8</v>
      </c>
    </row>
    <row r="13" spans="1:6" s="627" customFormat="1" ht="30" customHeight="1">
      <c r="A13" s="623" t="s">
        <v>1201</v>
      </c>
      <c r="B13" s="667" t="s">
        <v>7</v>
      </c>
      <c r="C13" s="658" t="s">
        <v>767</v>
      </c>
      <c r="D13" s="658" t="s">
        <v>768</v>
      </c>
      <c r="E13" s="638" t="e">
        <f>SUM(E14:E16)</f>
        <v>#REF!</v>
      </c>
      <c r="F13" s="623" t="s">
        <v>8</v>
      </c>
    </row>
    <row r="14" spans="1:6" s="973" customFormat="1" ht="37.5" customHeight="1">
      <c r="A14" s="624" t="s">
        <v>1204</v>
      </c>
      <c r="B14" s="974" t="s">
        <v>7</v>
      </c>
      <c r="C14" s="975" t="s">
        <v>767</v>
      </c>
      <c r="D14" s="976" t="s">
        <v>768</v>
      </c>
      <c r="E14" s="977">
        <v>20000</v>
      </c>
      <c r="F14" s="631" t="s">
        <v>8</v>
      </c>
    </row>
    <row r="15" spans="1:6" s="627" customFormat="1" ht="18" customHeight="1">
      <c r="A15" s="624" t="s">
        <v>1205</v>
      </c>
      <c r="B15" s="647" t="s">
        <v>7</v>
      </c>
      <c r="C15" s="645" t="s">
        <v>767</v>
      </c>
      <c r="D15" s="646" t="s">
        <v>768</v>
      </c>
      <c r="E15" s="670" t="e">
        <f>#REF!+#REF!</f>
        <v>#REF!</v>
      </c>
      <c r="F15" s="631" t="s">
        <v>8</v>
      </c>
    </row>
    <row r="16" spans="1:6" s="627" customFormat="1" ht="34.5" customHeight="1">
      <c r="A16" s="624" t="s">
        <v>1203</v>
      </c>
      <c r="B16" s="647" t="s">
        <v>7</v>
      </c>
      <c r="C16" s="645" t="s">
        <v>767</v>
      </c>
      <c r="D16" s="646" t="s">
        <v>768</v>
      </c>
      <c r="E16" s="670" t="e">
        <f>#REF!</f>
        <v>#REF!</v>
      </c>
      <c r="F16" s="631" t="s">
        <v>8</v>
      </c>
    </row>
    <row r="17" spans="1:6" s="627" customFormat="1" ht="29.25" customHeight="1">
      <c r="A17" s="471" t="s">
        <v>1046</v>
      </c>
      <c r="B17" s="666" t="s">
        <v>7</v>
      </c>
      <c r="C17" s="659" t="s">
        <v>768</v>
      </c>
      <c r="D17" s="659" t="s">
        <v>768</v>
      </c>
      <c r="E17" s="637">
        <f>E18</f>
        <v>1250000</v>
      </c>
      <c r="F17" s="471"/>
    </row>
    <row r="18" spans="1:6" s="627" customFormat="1" ht="36" customHeight="1">
      <c r="A18" s="623" t="s">
        <v>1014</v>
      </c>
      <c r="B18" s="667" t="s">
        <v>7</v>
      </c>
      <c r="C18" s="658" t="s">
        <v>768</v>
      </c>
      <c r="D18" s="658" t="s">
        <v>768</v>
      </c>
      <c r="E18" s="638">
        <f>SUM(E19:E19)</f>
        <v>1250000</v>
      </c>
      <c r="F18" s="623"/>
    </row>
    <row r="19" spans="1:6" s="627" customFormat="1" ht="34.5" customHeight="1">
      <c r="A19" s="624" t="s">
        <v>1015</v>
      </c>
      <c r="B19" s="647" t="s">
        <v>7</v>
      </c>
      <c r="C19" s="645" t="s">
        <v>767</v>
      </c>
      <c r="D19" s="646" t="s">
        <v>768</v>
      </c>
      <c r="E19" s="670">
        <v>1250000</v>
      </c>
      <c r="F19" s="631" t="s">
        <v>8</v>
      </c>
    </row>
    <row r="20" spans="1:6" s="627" customFormat="1" ht="34.5" customHeight="1">
      <c r="A20" s="471" t="s">
        <v>1047</v>
      </c>
      <c r="B20" s="666" t="s">
        <v>7</v>
      </c>
      <c r="C20" s="659" t="s">
        <v>767</v>
      </c>
      <c r="D20" s="659" t="s">
        <v>768</v>
      </c>
      <c r="E20" s="637" t="e">
        <f>E21</f>
        <v>#REF!</v>
      </c>
      <c r="F20" s="471"/>
    </row>
    <row r="21" spans="1:6" s="627" customFormat="1" ht="30" customHeight="1">
      <c r="A21" s="623" t="s">
        <v>1039</v>
      </c>
      <c r="B21" s="667" t="s">
        <v>7</v>
      </c>
      <c r="C21" s="658" t="s">
        <v>767</v>
      </c>
      <c r="D21" s="658" t="s">
        <v>768</v>
      </c>
      <c r="E21" s="638" t="e">
        <f>SUM(E22:E23)</f>
        <v>#REF!</v>
      </c>
      <c r="F21" s="623"/>
    </row>
    <row r="22" spans="1:6" s="627" customFormat="1" ht="18.75">
      <c r="A22" s="624" t="s">
        <v>860</v>
      </c>
      <c r="B22" s="647" t="s">
        <v>7</v>
      </c>
      <c r="C22" s="645" t="s">
        <v>767</v>
      </c>
      <c r="D22" s="646" t="s">
        <v>768</v>
      </c>
      <c r="E22" s="670">
        <f>2*60000*9</f>
        <v>1080000</v>
      </c>
      <c r="F22" s="631"/>
    </row>
    <row r="23" spans="1:6" s="627" customFormat="1" ht="36">
      <c r="A23" s="624" t="s">
        <v>861</v>
      </c>
      <c r="B23" s="647" t="s">
        <v>7</v>
      </c>
      <c r="C23" s="645" t="s">
        <v>767</v>
      </c>
      <c r="D23" s="646" t="s">
        <v>768</v>
      </c>
      <c r="E23" s="670" t="e">
        <f>#REF!+#REF!+#REF!+#REF!+#REF!+#REF!+#REF!+#REF!+#REF!</f>
        <v>#REF!</v>
      </c>
      <c r="F23" s="631"/>
    </row>
    <row r="24" spans="1:6" s="627" customFormat="1" ht="27.75" customHeight="1">
      <c r="A24" s="983" t="s">
        <v>1207</v>
      </c>
      <c r="B24" s="984"/>
      <c r="C24" s="984"/>
      <c r="D24" s="984"/>
      <c r="E24" s="984"/>
      <c r="F24" s="984"/>
    </row>
    <row r="25" spans="1:6" s="627" customFormat="1" ht="27" customHeight="1">
      <c r="A25" s="632" t="s">
        <v>579</v>
      </c>
      <c r="B25" s="632" t="s">
        <v>627</v>
      </c>
      <c r="C25" s="635" t="s">
        <v>19</v>
      </c>
      <c r="D25" s="635" t="s">
        <v>20</v>
      </c>
      <c r="E25" s="671" t="s">
        <v>628</v>
      </c>
      <c r="F25" s="633" t="s">
        <v>629</v>
      </c>
    </row>
    <row r="26" spans="1:6" s="627" customFormat="1" ht="34.5" customHeight="1">
      <c r="A26" s="471" t="s">
        <v>1016</v>
      </c>
      <c r="B26" s="666" t="s">
        <v>5</v>
      </c>
      <c r="C26" s="659" t="s">
        <v>863</v>
      </c>
      <c r="D26" s="659" t="s">
        <v>862</v>
      </c>
      <c r="E26" s="637">
        <f>E27</f>
        <v>8290505.333333334</v>
      </c>
      <c r="F26" s="471" t="s">
        <v>9</v>
      </c>
    </row>
    <row r="27" spans="1:6" s="627" customFormat="1" ht="31.5">
      <c r="A27" s="623" t="s">
        <v>1017</v>
      </c>
      <c r="B27" s="667" t="s">
        <v>5</v>
      </c>
      <c r="C27" s="658" t="s">
        <v>863</v>
      </c>
      <c r="D27" s="658" t="s">
        <v>862</v>
      </c>
      <c r="E27" s="638">
        <f>SUM(E28:E35)</f>
        <v>8290505.333333334</v>
      </c>
      <c r="F27" s="623" t="s">
        <v>10</v>
      </c>
    </row>
    <row r="28" spans="1:6" s="627" customFormat="1" ht="18.75">
      <c r="A28" s="649" t="s">
        <v>1018</v>
      </c>
      <c r="B28" s="650" t="s">
        <v>5</v>
      </c>
      <c r="C28" s="651" t="s">
        <v>863</v>
      </c>
      <c r="D28" s="651" t="s">
        <v>862</v>
      </c>
      <c r="E28" s="672">
        <f>'[1]جدول بودجوی به افغانی'!$C$33</f>
        <v>2190000</v>
      </c>
      <c r="F28" s="985" t="s">
        <v>10</v>
      </c>
    </row>
    <row r="29" spans="1:6" s="627" customFormat="1" ht="18.75">
      <c r="A29" s="649" t="s">
        <v>1019</v>
      </c>
      <c r="B29" s="650" t="s">
        <v>5</v>
      </c>
      <c r="C29" s="651" t="s">
        <v>863</v>
      </c>
      <c r="D29" s="651" t="s">
        <v>862</v>
      </c>
      <c r="E29" s="672">
        <f>'[1]جدول بودجوی به افغانی'!$I$33</f>
        <v>136000</v>
      </c>
      <c r="F29" s="986"/>
    </row>
    <row r="30" spans="1:6" s="627" customFormat="1" ht="18.75">
      <c r="A30" s="649" t="s">
        <v>1020</v>
      </c>
      <c r="B30" s="650" t="s">
        <v>5</v>
      </c>
      <c r="C30" s="651" t="s">
        <v>863</v>
      </c>
      <c r="D30" s="651" t="s">
        <v>862</v>
      </c>
      <c r="E30" s="672">
        <f>'[1]جدول بودجوی به افغانی'!$D$33</f>
        <v>193333.33333333331</v>
      </c>
      <c r="F30" s="986"/>
    </row>
    <row r="31" spans="1:6" s="627" customFormat="1" ht="18.75">
      <c r="A31" s="649" t="s">
        <v>1021</v>
      </c>
      <c r="B31" s="650" t="s">
        <v>5</v>
      </c>
      <c r="C31" s="651" t="s">
        <v>863</v>
      </c>
      <c r="D31" s="651" t="s">
        <v>862</v>
      </c>
      <c r="E31" s="672">
        <f>'[1]جدول بودجوی به افغانی'!$E$33</f>
        <v>4880000</v>
      </c>
      <c r="F31" s="986"/>
    </row>
    <row r="32" spans="1:6" s="627" customFormat="1" ht="18.75">
      <c r="A32" s="649" t="s">
        <v>1022</v>
      </c>
      <c r="B32" s="650" t="s">
        <v>5</v>
      </c>
      <c r="C32" s="651" t="s">
        <v>863</v>
      </c>
      <c r="D32" s="651" t="s">
        <v>862</v>
      </c>
      <c r="E32" s="672">
        <f>'[1]جدول بودجوی به افغانی'!$F$33</f>
        <v>83772</v>
      </c>
      <c r="F32" s="986"/>
    </row>
    <row r="33" spans="1:6" s="627" customFormat="1" ht="18.75">
      <c r="A33" s="649" t="s">
        <v>1023</v>
      </c>
      <c r="B33" s="650" t="s">
        <v>5</v>
      </c>
      <c r="C33" s="651" t="s">
        <v>863</v>
      </c>
      <c r="D33" s="651" t="s">
        <v>862</v>
      </c>
      <c r="E33" s="672">
        <f>'[1]جدول بودجوی به افغانی'!$J$33</f>
        <v>20000</v>
      </c>
      <c r="F33" s="986"/>
    </row>
    <row r="34" spans="1:6" s="627" customFormat="1" ht="18.75">
      <c r="A34" s="649" t="s">
        <v>1024</v>
      </c>
      <c r="B34" s="650" t="s">
        <v>5</v>
      </c>
      <c r="C34" s="651" t="s">
        <v>863</v>
      </c>
      <c r="D34" s="651" t="s">
        <v>862</v>
      </c>
      <c r="E34" s="672">
        <f>'[1]جدول بودجوی به افغانی'!$G$33</f>
        <v>313400</v>
      </c>
      <c r="F34" s="986"/>
    </row>
    <row r="35" spans="1:6" s="627" customFormat="1" ht="18.75">
      <c r="A35" s="653" t="s">
        <v>1025</v>
      </c>
      <c r="B35" s="650" t="s">
        <v>5</v>
      </c>
      <c r="C35" s="651" t="s">
        <v>863</v>
      </c>
      <c r="D35" s="651" t="s">
        <v>862</v>
      </c>
      <c r="E35" s="672">
        <f>'[1]جدول بودجوی به افغانی'!$H$33</f>
        <v>474000</v>
      </c>
      <c r="F35" s="987"/>
    </row>
    <row r="36" spans="1:6" s="627" customFormat="1" ht="34.5" customHeight="1">
      <c r="A36" s="471" t="s">
        <v>1026</v>
      </c>
      <c r="B36" s="666" t="s">
        <v>5</v>
      </c>
      <c r="C36" s="659" t="s">
        <v>863</v>
      </c>
      <c r="D36" s="659" t="s">
        <v>862</v>
      </c>
      <c r="E36" s="637">
        <f>E37</f>
        <v>1116166.6666666667</v>
      </c>
      <c r="F36" s="471" t="s">
        <v>9</v>
      </c>
    </row>
    <row r="37" spans="1:6" s="627" customFormat="1" ht="18">
      <c r="A37" s="623" t="s">
        <v>1206</v>
      </c>
      <c r="B37" s="667" t="s">
        <v>5</v>
      </c>
      <c r="C37" s="658" t="s">
        <v>863</v>
      </c>
      <c r="D37" s="658" t="s">
        <v>862</v>
      </c>
      <c r="E37" s="638">
        <f>SUM(E38:E44)</f>
        <v>1116166.6666666667</v>
      </c>
      <c r="F37" s="623" t="s">
        <v>6</v>
      </c>
    </row>
    <row r="38" spans="1:6" s="627" customFormat="1" ht="18">
      <c r="A38" s="634" t="s">
        <v>975</v>
      </c>
      <c r="B38" s="650" t="s">
        <v>5</v>
      </c>
      <c r="C38" s="651" t="s">
        <v>863</v>
      </c>
      <c r="D38" s="651" t="s">
        <v>862</v>
      </c>
      <c r="E38" s="816">
        <f>[1]ننگرهار!$H$14</f>
        <v>133333.33333333334</v>
      </c>
      <c r="F38" s="985" t="s">
        <v>11</v>
      </c>
    </row>
    <row r="39" spans="1:6" s="627" customFormat="1" ht="18">
      <c r="A39" s="634" t="s">
        <v>976</v>
      </c>
      <c r="B39" s="650" t="s">
        <v>5</v>
      </c>
      <c r="C39" s="651" t="s">
        <v>1027</v>
      </c>
      <c r="D39" s="651" t="s">
        <v>1028</v>
      </c>
      <c r="E39" s="816">
        <f>[1]ننگرهار!$H$15</f>
        <v>66666.666666666672</v>
      </c>
      <c r="F39" s="986"/>
    </row>
    <row r="40" spans="1:6" s="627" customFormat="1" ht="18">
      <c r="A40" s="634" t="s">
        <v>977</v>
      </c>
      <c r="B40" s="650" t="s">
        <v>5</v>
      </c>
      <c r="C40" s="651" t="s">
        <v>1029</v>
      </c>
      <c r="D40" s="651" t="s">
        <v>1030</v>
      </c>
      <c r="E40" s="816">
        <f>[1]ننگرهار!$H$16</f>
        <v>66666.666666666672</v>
      </c>
      <c r="F40" s="986"/>
    </row>
    <row r="41" spans="1:6" s="627" customFormat="1" ht="18">
      <c r="A41" s="634" t="s">
        <v>1031</v>
      </c>
      <c r="B41" s="650" t="s">
        <v>5</v>
      </c>
      <c r="C41" s="651" t="s">
        <v>863</v>
      </c>
      <c r="D41" s="651" t="s">
        <v>862</v>
      </c>
      <c r="E41" s="816">
        <f>[1]ننگرهار!$H$24</f>
        <v>800000</v>
      </c>
      <c r="F41" s="986"/>
    </row>
    <row r="42" spans="1:6" s="627" customFormat="1" ht="18">
      <c r="A42" s="634" t="s">
        <v>979</v>
      </c>
      <c r="B42" s="650" t="s">
        <v>5</v>
      </c>
      <c r="C42" s="651" t="s">
        <v>863</v>
      </c>
      <c r="D42" s="651" t="s">
        <v>862</v>
      </c>
      <c r="E42" s="816">
        <f>[1]ننگرهار!$H$20</f>
        <v>18000</v>
      </c>
      <c r="F42" s="986"/>
    </row>
    <row r="43" spans="1:6" s="627" customFormat="1" ht="18">
      <c r="A43" s="634" t="s">
        <v>980</v>
      </c>
      <c r="B43" s="650" t="s">
        <v>5</v>
      </c>
      <c r="C43" s="651" t="s">
        <v>863</v>
      </c>
      <c r="D43" s="651" t="s">
        <v>862</v>
      </c>
      <c r="E43" s="816">
        <f>[1]ننگرهار!$H$21</f>
        <v>17500</v>
      </c>
      <c r="F43" s="986"/>
    </row>
    <row r="44" spans="1:6" s="627" customFormat="1" ht="18">
      <c r="A44" s="634" t="s">
        <v>1032</v>
      </c>
      <c r="B44" s="654" t="s">
        <v>5</v>
      </c>
      <c r="C44" s="651" t="s">
        <v>863</v>
      </c>
      <c r="D44" s="651" t="s">
        <v>862</v>
      </c>
      <c r="E44" s="816">
        <f>[1]ننگرهار!$H$19</f>
        <v>14000</v>
      </c>
      <c r="F44" s="987"/>
    </row>
    <row r="45" spans="1:6" s="627" customFormat="1" ht="34.5" customHeight="1">
      <c r="A45" s="471" t="s">
        <v>1045</v>
      </c>
      <c r="B45" s="666" t="s">
        <v>5</v>
      </c>
      <c r="C45" s="659" t="s">
        <v>863</v>
      </c>
      <c r="D45" s="659" t="s">
        <v>862</v>
      </c>
      <c r="E45" s="637">
        <f>E46</f>
        <v>1031500</v>
      </c>
      <c r="F45" s="471" t="s">
        <v>9</v>
      </c>
    </row>
    <row r="46" spans="1:6" s="627" customFormat="1" ht="31.5">
      <c r="A46" s="623" t="s">
        <v>0</v>
      </c>
      <c r="B46" s="667" t="s">
        <v>5</v>
      </c>
      <c r="C46" s="658" t="s">
        <v>863</v>
      </c>
      <c r="D46" s="658" t="s">
        <v>862</v>
      </c>
      <c r="E46" s="638">
        <f>E48</f>
        <v>1031500</v>
      </c>
      <c r="F46" s="623" t="s">
        <v>6</v>
      </c>
    </row>
    <row r="47" spans="1:6" s="627" customFormat="1" ht="25.5" customHeight="1">
      <c r="A47" s="655" t="s">
        <v>1033</v>
      </c>
      <c r="B47" s="656" t="s">
        <v>5</v>
      </c>
      <c r="C47" s="651" t="s">
        <v>863</v>
      </c>
      <c r="D47" s="651" t="s">
        <v>862</v>
      </c>
      <c r="E47" s="673">
        <v>0</v>
      </c>
      <c r="F47" s="985" t="s">
        <v>11</v>
      </c>
    </row>
    <row r="48" spans="1:6" s="627" customFormat="1" ht="18">
      <c r="A48" s="655" t="s">
        <v>1034</v>
      </c>
      <c r="B48" s="656" t="s">
        <v>5</v>
      </c>
      <c r="C48" s="651" t="s">
        <v>863</v>
      </c>
      <c r="D48" s="651" t="s">
        <v>862</v>
      </c>
      <c r="E48" s="673">
        <f>'[1]جدول عمومی بودجه'!$J$31</f>
        <v>1031500</v>
      </c>
      <c r="F48" s="987"/>
    </row>
    <row r="49" spans="1:6" s="627" customFormat="1" ht="34.5" customHeight="1">
      <c r="A49" s="471" t="s">
        <v>1041</v>
      </c>
      <c r="B49" s="666" t="s">
        <v>5</v>
      </c>
      <c r="C49" s="659" t="s">
        <v>863</v>
      </c>
      <c r="D49" s="659" t="s">
        <v>862</v>
      </c>
      <c r="E49" s="637">
        <f>E50</f>
        <v>12345792</v>
      </c>
      <c r="F49" s="471" t="s">
        <v>9</v>
      </c>
    </row>
    <row r="50" spans="1:6" s="627" customFormat="1" ht="36" customHeight="1">
      <c r="A50" s="623" t="s">
        <v>1040</v>
      </c>
      <c r="B50" s="667" t="s">
        <v>5</v>
      </c>
      <c r="C50" s="658" t="s">
        <v>863</v>
      </c>
      <c r="D50" s="658" t="s">
        <v>862</v>
      </c>
      <c r="E50" s="638">
        <f>SUM(E51:E52)</f>
        <v>12345792</v>
      </c>
      <c r="F50" s="623" t="s">
        <v>6</v>
      </c>
    </row>
    <row r="51" spans="1:6" s="627" customFormat="1" ht="36">
      <c r="A51" s="657" t="s">
        <v>1053</v>
      </c>
      <c r="B51" s="654" t="s">
        <v>5</v>
      </c>
      <c r="C51" s="651" t="s">
        <v>863</v>
      </c>
      <c r="D51" s="651" t="s">
        <v>862</v>
      </c>
      <c r="E51" s="673">
        <f>'[1]جدول عمومی بودجه'!$G$6</f>
        <v>10865694</v>
      </c>
      <c r="F51" s="652" t="s">
        <v>11</v>
      </c>
    </row>
    <row r="52" spans="1:6" s="971" customFormat="1" ht="38.25" customHeight="1">
      <c r="A52" s="628" t="s">
        <v>1196</v>
      </c>
      <c r="B52" s="654" t="s">
        <v>5</v>
      </c>
      <c r="C52" s="651" t="s">
        <v>1027</v>
      </c>
      <c r="D52" s="651" t="s">
        <v>1028</v>
      </c>
      <c r="E52" s="673">
        <v>1480098</v>
      </c>
      <c r="F52" s="652" t="s">
        <v>11</v>
      </c>
    </row>
    <row r="53" spans="1:6" s="627" customFormat="1" ht="43.5" customHeight="1">
      <c r="A53" s="471" t="s">
        <v>1042</v>
      </c>
      <c r="B53" s="666" t="s">
        <v>5</v>
      </c>
      <c r="C53" s="659" t="s">
        <v>863</v>
      </c>
      <c r="D53" s="659" t="s">
        <v>862</v>
      </c>
      <c r="E53" s="637">
        <f>SUM(E54+E58+E62)</f>
        <v>5298102</v>
      </c>
      <c r="F53" s="471" t="s">
        <v>9</v>
      </c>
    </row>
    <row r="54" spans="1:6" s="627" customFormat="1" ht="18">
      <c r="A54" s="623" t="s">
        <v>1043</v>
      </c>
      <c r="B54" s="667" t="s">
        <v>5</v>
      </c>
      <c r="C54" s="658" t="s">
        <v>863</v>
      </c>
      <c r="D54" s="658" t="s">
        <v>862</v>
      </c>
      <c r="E54" s="638">
        <f>E57</f>
        <v>2813000</v>
      </c>
      <c r="F54" s="623" t="s">
        <v>6</v>
      </c>
    </row>
    <row r="55" spans="1:6" s="627" customFormat="1" ht="23.25" customHeight="1">
      <c r="A55" s="655" t="s">
        <v>1035</v>
      </c>
      <c r="B55" s="654" t="s">
        <v>5</v>
      </c>
      <c r="C55" s="651" t="s">
        <v>863</v>
      </c>
      <c r="D55" s="651" t="s">
        <v>862</v>
      </c>
      <c r="E55" s="673">
        <v>0</v>
      </c>
      <c r="F55" s="985" t="s">
        <v>11</v>
      </c>
    </row>
    <row r="56" spans="1:6" s="627" customFormat="1" ht="23.25" customHeight="1">
      <c r="A56" s="655" t="s">
        <v>1036</v>
      </c>
      <c r="B56" s="654" t="s">
        <v>5</v>
      </c>
      <c r="C56" s="651" t="s">
        <v>863</v>
      </c>
      <c r="D56" s="651" t="s">
        <v>862</v>
      </c>
      <c r="E56" s="673">
        <v>0</v>
      </c>
      <c r="F56" s="986"/>
    </row>
    <row r="57" spans="1:6" s="627" customFormat="1" ht="23.25" customHeight="1">
      <c r="A57" s="657" t="s">
        <v>1037</v>
      </c>
      <c r="B57" s="654" t="s">
        <v>5</v>
      </c>
      <c r="C57" s="651" t="s">
        <v>863</v>
      </c>
      <c r="D57" s="651" t="s">
        <v>862</v>
      </c>
      <c r="E57" s="673">
        <f>'[1]جدول عمومی بودجه'!$H$31</f>
        <v>2813000</v>
      </c>
      <c r="F57" s="987"/>
    </row>
    <row r="58" spans="1:6" s="627" customFormat="1" ht="31.5">
      <c r="A58" s="623" t="s">
        <v>1044</v>
      </c>
      <c r="B58" s="667" t="s">
        <v>5</v>
      </c>
      <c r="C58" s="658" t="s">
        <v>863</v>
      </c>
      <c r="D58" s="658" t="s">
        <v>862</v>
      </c>
      <c r="E58" s="638">
        <f>E61</f>
        <v>1900000</v>
      </c>
      <c r="F58" s="623" t="s">
        <v>6</v>
      </c>
    </row>
    <row r="59" spans="1:6" s="627" customFormat="1" ht="21" customHeight="1">
      <c r="A59" s="655" t="s">
        <v>1035</v>
      </c>
      <c r="B59" s="654" t="s">
        <v>5</v>
      </c>
      <c r="C59" s="651" t="s">
        <v>863</v>
      </c>
      <c r="D59" s="651" t="s">
        <v>862</v>
      </c>
      <c r="E59" s="673">
        <v>0</v>
      </c>
      <c r="F59" s="985" t="s">
        <v>11</v>
      </c>
    </row>
    <row r="60" spans="1:6" s="627" customFormat="1" ht="18">
      <c r="A60" s="655" t="s">
        <v>1036</v>
      </c>
      <c r="B60" s="654" t="s">
        <v>5</v>
      </c>
      <c r="C60" s="651" t="s">
        <v>863</v>
      </c>
      <c r="D60" s="651" t="s">
        <v>862</v>
      </c>
      <c r="E60" s="673">
        <v>0</v>
      </c>
      <c r="F60" s="986"/>
    </row>
    <row r="61" spans="1:6" s="627" customFormat="1" ht="21" customHeight="1">
      <c r="A61" s="657" t="s">
        <v>1037</v>
      </c>
      <c r="B61" s="654" t="s">
        <v>5</v>
      </c>
      <c r="C61" s="651" t="s">
        <v>863</v>
      </c>
      <c r="D61" s="651" t="s">
        <v>862</v>
      </c>
      <c r="E61" s="673">
        <f>'[1]جدول عمومی بودجه'!$I$31</f>
        <v>1900000</v>
      </c>
      <c r="F61" s="987"/>
    </row>
    <row r="62" spans="1:6" s="627" customFormat="1" ht="18">
      <c r="A62" s="623" t="s">
        <v>1038</v>
      </c>
      <c r="B62" s="667" t="s">
        <v>5</v>
      </c>
      <c r="C62" s="658" t="s">
        <v>863</v>
      </c>
      <c r="D62" s="658" t="s">
        <v>862</v>
      </c>
      <c r="E62" s="638">
        <f>E65</f>
        <v>585102</v>
      </c>
      <c r="F62" s="623" t="s">
        <v>6</v>
      </c>
    </row>
    <row r="63" spans="1:6" s="627" customFormat="1" ht="18">
      <c r="A63" s="625" t="s">
        <v>1035</v>
      </c>
      <c r="B63" s="654" t="s">
        <v>5</v>
      </c>
      <c r="C63" s="651" t="s">
        <v>863</v>
      </c>
      <c r="D63" s="651" t="s">
        <v>862</v>
      </c>
      <c r="E63" s="673">
        <v>0</v>
      </c>
      <c r="F63" s="988" t="s">
        <v>11</v>
      </c>
    </row>
    <row r="64" spans="1:6" s="627" customFormat="1" ht="18">
      <c r="A64" s="625" t="s">
        <v>1036</v>
      </c>
      <c r="B64" s="654" t="s">
        <v>5</v>
      </c>
      <c r="C64" s="651" t="s">
        <v>863</v>
      </c>
      <c r="D64" s="651" t="s">
        <v>862</v>
      </c>
      <c r="E64" s="673">
        <v>0</v>
      </c>
      <c r="F64" s="988"/>
    </row>
    <row r="65" spans="1:6" s="627" customFormat="1" ht="18">
      <c r="A65" s="665" t="s">
        <v>1037</v>
      </c>
      <c r="B65" s="654" t="s">
        <v>5</v>
      </c>
      <c r="C65" s="651" t="s">
        <v>863</v>
      </c>
      <c r="D65" s="651" t="s">
        <v>862</v>
      </c>
      <c r="E65" s="673">
        <f>'[1]جدول عمومی بودجه'!$G$16</f>
        <v>585102</v>
      </c>
      <c r="F65" s="988"/>
    </row>
    <row r="66" spans="1:6" s="627" customFormat="1" ht="27.75" customHeight="1" thickBot="1">
      <c r="A66" s="660" t="s">
        <v>1054</v>
      </c>
      <c r="B66" s="661"/>
      <c r="C66" s="662"/>
      <c r="D66" s="663"/>
      <c r="E66" s="674">
        <f>SUM(E26+E36+E45+E49+E53)</f>
        <v>28082066</v>
      </c>
      <c r="F66" s="664"/>
    </row>
    <row r="67" spans="1:6" s="627" customFormat="1" ht="27" customHeight="1">
      <c r="A67" s="989" t="s">
        <v>596</v>
      </c>
      <c r="B67" s="990"/>
      <c r="C67" s="990"/>
      <c r="D67" s="991"/>
      <c r="E67" s="978"/>
      <c r="F67" s="682"/>
    </row>
  </sheetData>
  <mergeCells count="10">
    <mergeCell ref="A67:D67"/>
    <mergeCell ref="A1:F1"/>
    <mergeCell ref="A2:F2"/>
    <mergeCell ref="A24:F24"/>
    <mergeCell ref="F28:F35"/>
    <mergeCell ref="F38:F44"/>
    <mergeCell ref="F55:F57"/>
    <mergeCell ref="F59:F61"/>
    <mergeCell ref="F63:F65"/>
    <mergeCell ref="F47:F48"/>
  </mergeCells>
  <printOptions horizontalCentered="1"/>
  <pageMargins left="0.35433070866141736" right="0.59055118110236227" top="0.39370078740157483" bottom="0.35433070866141736" header="0.31496062992125984" footer="0.31496062992125984"/>
  <pageSetup paperSize="9" scale="79" fitToWidth="0" fitToHeight="0" orientation="landscape" r:id="rId1"/>
  <rowBreaks count="1" manualBreakCount="1">
    <brk id="48"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showGridLines="0" rightToLeft="1" view="pageBreakPreview" zoomScale="70" zoomScaleNormal="70" zoomScaleSheetLayoutView="70" workbookViewId="0">
      <pane ySplit="1" topLeftCell="A62" activePane="bottomLeft" state="frozen"/>
      <selection pane="bottomLeft" activeCell="A77" sqref="A77:XFD77"/>
    </sheetView>
  </sheetViews>
  <sheetFormatPr defaultRowHeight="15"/>
  <cols>
    <col min="1" max="1" width="4" style="87" customWidth="1"/>
    <col min="2" max="2" width="35.140625" style="87" customWidth="1"/>
    <col min="3" max="3" width="19.7109375" style="103" customWidth="1"/>
    <col min="4" max="4" width="15.7109375" style="92" customWidth="1"/>
    <col min="5" max="5" width="14.42578125" style="92" customWidth="1"/>
    <col min="6" max="6" width="15.5703125" style="92" customWidth="1"/>
    <col min="7" max="7" width="16" style="92" customWidth="1"/>
    <col min="8" max="8" width="15.7109375" style="92" customWidth="1"/>
    <col min="9" max="9" width="16.5703125" style="92" customWidth="1"/>
    <col min="10" max="11" width="15.42578125" style="92" customWidth="1"/>
    <col min="12" max="12" width="15.85546875" style="92" customWidth="1"/>
    <col min="13" max="13" width="16.42578125" style="92" customWidth="1"/>
    <col min="14" max="14" width="16.5703125" style="92" customWidth="1"/>
    <col min="15" max="15" width="15.7109375" style="92" customWidth="1"/>
    <col min="16" max="16" width="17.85546875" style="87" customWidth="1"/>
  </cols>
  <sheetData>
    <row r="1" spans="1:16">
      <c r="A1" s="1045" t="s">
        <v>595</v>
      </c>
      <c r="B1" s="1045"/>
      <c r="C1" s="1045"/>
      <c r="D1" s="1045"/>
      <c r="E1" s="1045"/>
      <c r="F1" s="1045"/>
      <c r="G1" s="1045"/>
      <c r="H1" s="1045"/>
      <c r="I1" s="1045"/>
      <c r="J1" s="1045"/>
      <c r="K1" s="1045"/>
      <c r="L1" s="1045"/>
      <c r="M1" s="1045"/>
      <c r="N1" s="1045"/>
      <c r="O1" s="1045"/>
    </row>
    <row r="2" spans="1:16">
      <c r="A2" s="1046" t="s">
        <v>264</v>
      </c>
      <c r="B2" s="1046"/>
      <c r="C2" s="1046"/>
      <c r="D2" s="1046"/>
      <c r="E2" s="1046"/>
      <c r="F2" s="1046"/>
      <c r="G2" s="1046"/>
      <c r="H2" s="1046"/>
      <c r="I2" s="1046"/>
      <c r="J2" s="1046"/>
      <c r="K2" s="1046"/>
      <c r="L2" s="1046"/>
      <c r="M2" s="1046"/>
      <c r="N2" s="1046"/>
      <c r="O2" s="1046"/>
      <c r="P2" s="1046"/>
    </row>
    <row r="3" spans="1:16">
      <c r="A3" s="88"/>
      <c r="B3" s="89"/>
      <c r="C3" s="6"/>
      <c r="D3" s="90"/>
      <c r="E3" s="90"/>
      <c r="F3" s="90"/>
      <c r="G3" s="90"/>
      <c r="H3" s="90"/>
      <c r="I3" s="90"/>
      <c r="J3" s="90"/>
      <c r="K3" s="90"/>
      <c r="L3" s="90"/>
      <c r="M3" s="90"/>
      <c r="N3" s="90"/>
      <c r="O3" s="90"/>
      <c r="P3" s="89"/>
    </row>
    <row r="4" spans="1:16">
      <c r="A4" s="88"/>
      <c r="B4" s="89" t="s">
        <v>622</v>
      </c>
      <c r="C4" s="6">
        <v>1395</v>
      </c>
      <c r="D4" s="90"/>
      <c r="E4" s="90"/>
      <c r="F4" s="6"/>
      <c r="G4" s="90"/>
      <c r="H4" s="90"/>
      <c r="I4" s="90"/>
      <c r="J4" s="90"/>
      <c r="K4" s="90"/>
      <c r="L4" s="90"/>
      <c r="M4" s="90"/>
      <c r="N4" s="90"/>
      <c r="O4" s="90"/>
      <c r="P4" s="89"/>
    </row>
    <row r="5" spans="1:16">
      <c r="A5" s="88"/>
      <c r="B5" s="89"/>
      <c r="C5" s="6" t="s">
        <v>265</v>
      </c>
      <c r="D5" s="1020" t="s">
        <v>266</v>
      </c>
      <c r="E5" s="1021"/>
      <c r="F5" s="1022"/>
      <c r="G5" s="90"/>
      <c r="H5" s="1023" t="s">
        <v>267</v>
      </c>
      <c r="I5" s="1024"/>
      <c r="J5" s="1024"/>
      <c r="K5" s="1024"/>
      <c r="L5" s="1024"/>
      <c r="M5" s="1024"/>
      <c r="N5" s="1024"/>
      <c r="O5" s="1025"/>
      <c r="P5" s="89"/>
    </row>
    <row r="6" spans="1:16">
      <c r="A6" s="88"/>
      <c r="B6" s="89" t="s">
        <v>268</v>
      </c>
      <c r="C6" s="6"/>
      <c r="D6" s="90"/>
      <c r="E6" s="90"/>
      <c r="F6" s="90"/>
      <c r="G6" s="90"/>
      <c r="H6" s="1020" t="s">
        <v>269</v>
      </c>
      <c r="I6" s="1021"/>
      <c r="J6" s="1021"/>
      <c r="K6" s="1021"/>
      <c r="L6" s="1021"/>
      <c r="M6" s="1021"/>
      <c r="N6" s="1021"/>
      <c r="O6" s="1022"/>
      <c r="P6" s="89"/>
    </row>
    <row r="7" spans="1:16">
      <c r="A7" s="88"/>
      <c r="B7" s="89" t="s">
        <v>270</v>
      </c>
      <c r="C7" s="6"/>
      <c r="D7" s="90"/>
      <c r="E7" s="90"/>
      <c r="F7" s="90"/>
      <c r="G7" s="90"/>
      <c r="H7" s="1020" t="s">
        <v>271</v>
      </c>
      <c r="I7" s="1021"/>
      <c r="J7" s="1021"/>
      <c r="K7" s="1021"/>
      <c r="L7" s="1021"/>
      <c r="M7" s="1021"/>
      <c r="N7" s="1021"/>
      <c r="O7" s="1022"/>
      <c r="P7" s="89"/>
    </row>
    <row r="8" spans="1:16">
      <c r="A8" s="88"/>
      <c r="B8" s="89"/>
      <c r="C8" s="6"/>
      <c r="D8" s="90"/>
      <c r="E8" s="90"/>
      <c r="F8" s="90"/>
      <c r="G8" s="90"/>
      <c r="H8" s="1047" t="s">
        <v>272</v>
      </c>
      <c r="I8" s="1048"/>
      <c r="J8" s="1048"/>
      <c r="K8" s="1048"/>
      <c r="L8" s="1048"/>
      <c r="M8" s="1048"/>
      <c r="N8" s="1048"/>
      <c r="O8" s="1049"/>
      <c r="P8" s="89"/>
    </row>
    <row r="9" spans="1:16">
      <c r="A9" s="88"/>
      <c r="B9" s="89"/>
      <c r="C9" s="6"/>
      <c r="D9" s="90"/>
      <c r="E9" s="90"/>
      <c r="F9" s="90"/>
      <c r="G9" s="90"/>
      <c r="H9" s="1020"/>
      <c r="I9" s="1021"/>
      <c r="J9" s="1021"/>
      <c r="K9" s="1021"/>
      <c r="L9" s="1021"/>
      <c r="M9" s="1021"/>
      <c r="N9" s="1021"/>
      <c r="O9" s="1022"/>
      <c r="P9" s="89"/>
    </row>
    <row r="10" spans="1:16">
      <c r="A10" s="1050" t="s">
        <v>655</v>
      </c>
      <c r="B10" s="1051"/>
      <c r="C10" s="1051"/>
      <c r="D10" s="1051"/>
      <c r="E10" s="1051"/>
      <c r="F10" s="1051"/>
      <c r="G10" s="1051"/>
      <c r="H10" s="1051"/>
      <c r="I10" s="1051"/>
      <c r="J10" s="1051"/>
      <c r="K10" s="1051"/>
      <c r="L10" s="1051"/>
      <c r="M10" s="1051"/>
      <c r="N10" s="1051"/>
      <c r="O10" s="1052"/>
      <c r="P10" s="89"/>
    </row>
    <row r="11" spans="1:16" ht="30">
      <c r="A11" s="347" t="s">
        <v>273</v>
      </c>
      <c r="B11" s="91" t="s">
        <v>274</v>
      </c>
      <c r="C11" s="348" t="s">
        <v>275</v>
      </c>
      <c r="D11" s="349" t="s">
        <v>276</v>
      </c>
      <c r="E11" s="349" t="s">
        <v>277</v>
      </c>
      <c r="F11" s="349" t="s">
        <v>278</v>
      </c>
      <c r="G11" s="349" t="s">
        <v>279</v>
      </c>
      <c r="H11" s="349" t="s">
        <v>280</v>
      </c>
      <c r="I11" s="349" t="s">
        <v>281</v>
      </c>
      <c r="J11" s="349" t="s">
        <v>282</v>
      </c>
      <c r="K11" s="349" t="s">
        <v>283</v>
      </c>
      <c r="L11" s="349" t="s">
        <v>284</v>
      </c>
      <c r="M11" s="349" t="s">
        <v>285</v>
      </c>
      <c r="N11" s="349" t="s">
        <v>286</v>
      </c>
      <c r="O11" s="349" t="s">
        <v>287</v>
      </c>
      <c r="P11" s="91" t="s">
        <v>288</v>
      </c>
    </row>
    <row r="12" spans="1:16" ht="35.25" customHeight="1">
      <c r="A12" s="1053" t="s">
        <v>289</v>
      </c>
      <c r="B12" s="1054"/>
      <c r="C12" s="435">
        <f>SUM(C13:C24)</f>
        <v>27621533</v>
      </c>
      <c r="D12" s="435">
        <f t="shared" ref="D12:O12" si="0">SUM(D13:D24)</f>
        <v>120000</v>
      </c>
      <c r="E12" s="435">
        <f t="shared" si="0"/>
        <v>120000</v>
      </c>
      <c r="F12" s="435">
        <f t="shared" si="0"/>
        <v>161000</v>
      </c>
      <c r="G12" s="435">
        <f t="shared" si="0"/>
        <v>825100</v>
      </c>
      <c r="H12" s="435">
        <f t="shared" si="0"/>
        <v>725100</v>
      </c>
      <c r="I12" s="435">
        <f t="shared" si="0"/>
        <v>6524000</v>
      </c>
      <c r="J12" s="435">
        <f t="shared" si="0"/>
        <v>7566500</v>
      </c>
      <c r="K12" s="435">
        <f t="shared" si="0"/>
        <v>6136500</v>
      </c>
      <c r="L12" s="435">
        <f t="shared" si="0"/>
        <v>1378500</v>
      </c>
      <c r="M12" s="435">
        <f t="shared" si="0"/>
        <v>2308500</v>
      </c>
      <c r="N12" s="435">
        <f t="shared" si="0"/>
        <v>1595333</v>
      </c>
      <c r="O12" s="435">
        <f t="shared" si="0"/>
        <v>161000</v>
      </c>
      <c r="P12" s="398">
        <v>0</v>
      </c>
    </row>
    <row r="13" spans="1:16" ht="22.5">
      <c r="A13" s="385">
        <v>22</v>
      </c>
      <c r="B13" s="399" t="s">
        <v>597</v>
      </c>
      <c r="C13" s="369">
        <f>SUM(D13:O13)</f>
        <v>1440000</v>
      </c>
      <c r="D13" s="369">
        <f>60000+60000</f>
        <v>120000</v>
      </c>
      <c r="E13" s="369">
        <v>120000</v>
      </c>
      <c r="F13" s="369">
        <f>60000+60000</f>
        <v>120000</v>
      </c>
      <c r="G13" s="369">
        <v>120000</v>
      </c>
      <c r="H13" s="369">
        <f>F13</f>
        <v>120000</v>
      </c>
      <c r="I13" s="369">
        <f>F13</f>
        <v>120000</v>
      </c>
      <c r="J13" s="369">
        <f>F13</f>
        <v>120000</v>
      </c>
      <c r="K13" s="369">
        <f>F13</f>
        <v>120000</v>
      </c>
      <c r="L13" s="369">
        <f>F13</f>
        <v>120000</v>
      </c>
      <c r="M13" s="369">
        <f>F13</f>
        <v>120000</v>
      </c>
      <c r="N13" s="369">
        <f>F13</f>
        <v>120000</v>
      </c>
      <c r="O13" s="369">
        <f>F13</f>
        <v>120000</v>
      </c>
      <c r="P13" s="205">
        <v>0</v>
      </c>
    </row>
    <row r="14" spans="1:16" ht="22.5">
      <c r="A14" s="385">
        <v>22</v>
      </c>
      <c r="B14" s="399" t="s">
        <v>637</v>
      </c>
      <c r="C14" s="369">
        <v>2800000</v>
      </c>
      <c r="D14" s="369">
        <v>0</v>
      </c>
      <c r="E14" s="369">
        <v>0</v>
      </c>
      <c r="F14" s="369">
        <v>0</v>
      </c>
      <c r="G14" s="369">
        <v>0</v>
      </c>
      <c r="H14" s="369">
        <v>0</v>
      </c>
      <c r="I14" s="369">
        <f>C14/3</f>
        <v>933333.33333333337</v>
      </c>
      <c r="J14" s="369">
        <f t="shared" ref="J14:K16" si="1">I14</f>
        <v>933333.33333333337</v>
      </c>
      <c r="K14" s="369">
        <f t="shared" si="1"/>
        <v>933333.33333333337</v>
      </c>
      <c r="L14" s="369"/>
      <c r="M14" s="369">
        <v>0</v>
      </c>
      <c r="N14" s="369">
        <v>0</v>
      </c>
      <c r="O14" s="369">
        <v>0</v>
      </c>
      <c r="P14" s="205">
        <v>0</v>
      </c>
    </row>
    <row r="15" spans="1:16">
      <c r="A15" s="385">
        <v>22</v>
      </c>
      <c r="B15" s="399" t="s">
        <v>638</v>
      </c>
      <c r="C15" s="369">
        <v>9752000</v>
      </c>
      <c r="D15" s="369">
        <v>0</v>
      </c>
      <c r="E15" s="369">
        <v>0</v>
      </c>
      <c r="F15" s="369">
        <v>0</v>
      </c>
      <c r="G15" s="369">
        <v>0</v>
      </c>
      <c r="H15" s="369">
        <v>0</v>
      </c>
      <c r="I15" s="369">
        <f>C15/3</f>
        <v>3250666.6666666665</v>
      </c>
      <c r="J15" s="369">
        <f>I15</f>
        <v>3250666.6666666665</v>
      </c>
      <c r="K15" s="369">
        <f>I15</f>
        <v>3250666.6666666665</v>
      </c>
      <c r="L15" s="369"/>
      <c r="M15" s="369"/>
      <c r="N15" s="369"/>
      <c r="O15" s="369"/>
      <c r="P15" s="205"/>
    </row>
    <row r="16" spans="1:16" ht="29.25" customHeight="1">
      <c r="A16" s="385">
        <v>22</v>
      </c>
      <c r="B16" s="399" t="s">
        <v>639</v>
      </c>
      <c r="C16" s="369">
        <v>2547000</v>
      </c>
      <c r="D16" s="369">
        <v>0</v>
      </c>
      <c r="E16" s="369">
        <v>0</v>
      </c>
      <c r="F16" s="369">
        <v>0</v>
      </c>
      <c r="G16" s="369">
        <v>0</v>
      </c>
      <c r="H16" s="103">
        <v>0</v>
      </c>
      <c r="I16" s="369">
        <f>C16/3</f>
        <v>849000</v>
      </c>
      <c r="J16" s="369">
        <f t="shared" si="1"/>
        <v>849000</v>
      </c>
      <c r="K16" s="369">
        <f t="shared" si="1"/>
        <v>849000</v>
      </c>
      <c r="L16" s="369">
        <v>0</v>
      </c>
      <c r="M16" s="369">
        <v>0</v>
      </c>
      <c r="N16" s="369">
        <v>0</v>
      </c>
      <c r="O16" s="369">
        <v>0</v>
      </c>
      <c r="P16" s="205">
        <v>0</v>
      </c>
    </row>
    <row r="17" spans="1:16" ht="25.5" customHeight="1">
      <c r="A17" s="386">
        <v>22</v>
      </c>
      <c r="B17" s="399" t="s">
        <v>640</v>
      </c>
      <c r="C17" s="387">
        <v>2410000</v>
      </c>
      <c r="D17" s="387">
        <v>0</v>
      </c>
      <c r="E17" s="387">
        <v>0</v>
      </c>
      <c r="F17" s="387">
        <v>0</v>
      </c>
      <c r="G17" s="387">
        <v>0</v>
      </c>
      <c r="H17" s="387">
        <v>0</v>
      </c>
      <c r="I17" s="387">
        <v>0</v>
      </c>
      <c r="J17" s="387">
        <v>0</v>
      </c>
      <c r="K17" s="387">
        <v>0</v>
      </c>
      <c r="L17" s="387">
        <v>0</v>
      </c>
      <c r="M17" s="387">
        <f>C17/2</f>
        <v>1205000</v>
      </c>
      <c r="N17" s="387">
        <f>M17</f>
        <v>1205000</v>
      </c>
      <c r="O17" s="387">
        <v>0</v>
      </c>
      <c r="P17" s="388"/>
    </row>
    <row r="18" spans="1:16" ht="25.5" customHeight="1">
      <c r="A18" s="386">
        <v>22</v>
      </c>
      <c r="B18" s="399" t="s">
        <v>641</v>
      </c>
      <c r="C18" s="387">
        <v>3770000</v>
      </c>
      <c r="D18" s="387">
        <v>0</v>
      </c>
      <c r="E18" s="387">
        <v>0</v>
      </c>
      <c r="F18" s="387">
        <v>0</v>
      </c>
      <c r="G18" s="387">
        <v>0</v>
      </c>
      <c r="H18" s="387">
        <v>0</v>
      </c>
      <c r="I18" s="387">
        <v>0</v>
      </c>
      <c r="J18" s="387">
        <f>C18/4</f>
        <v>942500</v>
      </c>
      <c r="K18" s="387">
        <f>J18</f>
        <v>942500</v>
      </c>
      <c r="L18" s="387">
        <f>K18</f>
        <v>942500</v>
      </c>
      <c r="M18" s="387">
        <f>L18</f>
        <v>942500</v>
      </c>
      <c r="N18" s="387"/>
      <c r="O18" s="387"/>
      <c r="P18" s="388"/>
    </row>
    <row r="19" spans="1:16">
      <c r="A19" s="385">
        <v>22</v>
      </c>
      <c r="B19" s="399" t="s">
        <v>591</v>
      </c>
      <c r="C19" s="369">
        <v>229333</v>
      </c>
      <c r="D19" s="369">
        <v>0</v>
      </c>
      <c r="E19" s="369">
        <v>0</v>
      </c>
      <c r="F19" s="369">
        <v>0</v>
      </c>
      <c r="G19" s="369">
        <v>0</v>
      </c>
      <c r="H19" s="369">
        <v>0</v>
      </c>
      <c r="I19" s="369"/>
      <c r="J19" s="369">
        <v>0</v>
      </c>
      <c r="K19" s="369">
        <f>J19</f>
        <v>0</v>
      </c>
      <c r="L19" s="369">
        <f>K19</f>
        <v>0</v>
      </c>
      <c r="M19" s="369"/>
      <c r="N19" s="369">
        <f>C19</f>
        <v>229333</v>
      </c>
      <c r="O19" s="369"/>
      <c r="P19" s="205">
        <v>0</v>
      </c>
    </row>
    <row r="20" spans="1:16" ht="33.75">
      <c r="A20" s="385">
        <v>22</v>
      </c>
      <c r="B20" s="399" t="s">
        <v>642</v>
      </c>
      <c r="C20" s="369">
        <v>175000</v>
      </c>
      <c r="D20" s="369">
        <v>0</v>
      </c>
      <c r="E20" s="369">
        <v>0</v>
      </c>
      <c r="F20" s="369">
        <v>0</v>
      </c>
      <c r="G20" s="369">
        <v>0</v>
      </c>
      <c r="H20" s="369">
        <v>0</v>
      </c>
      <c r="I20" s="369">
        <v>0</v>
      </c>
      <c r="J20" s="369">
        <v>0</v>
      </c>
      <c r="K20" s="369">
        <v>0</v>
      </c>
      <c r="L20" s="369">
        <f>C20</f>
        <v>175000</v>
      </c>
      <c r="M20" s="369">
        <v>0</v>
      </c>
      <c r="N20" s="369">
        <v>0</v>
      </c>
      <c r="O20" s="369">
        <v>0</v>
      </c>
      <c r="P20" s="205">
        <v>0</v>
      </c>
    </row>
    <row r="21" spans="1:16">
      <c r="A21" s="385">
        <v>22</v>
      </c>
      <c r="B21" s="399" t="s">
        <v>643</v>
      </c>
      <c r="C21" s="369">
        <v>2660000</v>
      </c>
      <c r="D21" s="369">
        <v>0</v>
      </c>
      <c r="E21" s="369">
        <v>0</v>
      </c>
      <c r="F21" s="369">
        <v>0</v>
      </c>
      <c r="G21" s="369">
        <v>0</v>
      </c>
      <c r="H21" s="369">
        <v>0</v>
      </c>
      <c r="I21" s="369">
        <f>C21/2</f>
        <v>1330000</v>
      </c>
      <c r="J21" s="369">
        <f>I21</f>
        <v>1330000</v>
      </c>
      <c r="K21" s="369">
        <v>0</v>
      </c>
      <c r="L21" s="369">
        <v>0</v>
      </c>
      <c r="M21" s="369">
        <v>0</v>
      </c>
      <c r="N21" s="369">
        <v>0</v>
      </c>
      <c r="O21" s="369">
        <v>0</v>
      </c>
      <c r="P21" s="205"/>
    </row>
    <row r="22" spans="1:16" ht="34.5" customHeight="1">
      <c r="A22" s="385">
        <v>22</v>
      </c>
      <c r="B22" s="400" t="s">
        <v>588</v>
      </c>
      <c r="C22" s="369">
        <v>410000</v>
      </c>
      <c r="D22" s="369">
        <v>0</v>
      </c>
      <c r="E22" s="369">
        <v>0</v>
      </c>
      <c r="F22" s="369">
        <f>C22/10</f>
        <v>41000</v>
      </c>
      <c r="G22" s="369">
        <f>F22</f>
        <v>41000</v>
      </c>
      <c r="H22" s="369">
        <f>G22</f>
        <v>41000</v>
      </c>
      <c r="I22" s="369">
        <f t="shared" ref="I22:O22" si="2">H22</f>
        <v>41000</v>
      </c>
      <c r="J22" s="369">
        <f t="shared" si="2"/>
        <v>41000</v>
      </c>
      <c r="K22" s="369">
        <f t="shared" si="2"/>
        <v>41000</v>
      </c>
      <c r="L22" s="369">
        <f t="shared" si="2"/>
        <v>41000</v>
      </c>
      <c r="M22" s="369">
        <f t="shared" si="2"/>
        <v>41000</v>
      </c>
      <c r="N22" s="369">
        <f t="shared" si="2"/>
        <v>41000</v>
      </c>
      <c r="O22" s="369">
        <f t="shared" si="2"/>
        <v>41000</v>
      </c>
      <c r="P22" s="205">
        <v>0</v>
      </c>
    </row>
    <row r="23" spans="1:16" ht="58.5" customHeight="1">
      <c r="A23" s="389">
        <v>22</v>
      </c>
      <c r="B23" s="399" t="s">
        <v>644</v>
      </c>
      <c r="C23" s="387">
        <v>1128200</v>
      </c>
      <c r="D23" s="387">
        <v>0</v>
      </c>
      <c r="E23" s="387">
        <v>0</v>
      </c>
      <c r="F23" s="387">
        <v>0</v>
      </c>
      <c r="G23" s="387">
        <f>C23/2</f>
        <v>564100</v>
      </c>
      <c r="H23" s="387">
        <f>G23</f>
        <v>564100</v>
      </c>
      <c r="I23" s="387">
        <v>0</v>
      </c>
      <c r="J23" s="387">
        <v>0</v>
      </c>
      <c r="K23" s="387">
        <v>0</v>
      </c>
      <c r="L23" s="387">
        <v>0</v>
      </c>
      <c r="M23" s="387">
        <v>0</v>
      </c>
      <c r="N23" s="387">
        <v>0</v>
      </c>
      <c r="O23" s="387">
        <v>0</v>
      </c>
      <c r="P23" s="388">
        <v>0</v>
      </c>
    </row>
    <row r="24" spans="1:16" ht="22.5">
      <c r="A24" s="386">
        <v>22</v>
      </c>
      <c r="B24" s="399" t="s">
        <v>589</v>
      </c>
      <c r="C24" s="387">
        <v>300000</v>
      </c>
      <c r="D24" s="387">
        <v>0</v>
      </c>
      <c r="E24" s="387">
        <v>0</v>
      </c>
      <c r="F24" s="387">
        <v>0</v>
      </c>
      <c r="G24" s="387">
        <f>C24/3</f>
        <v>100000</v>
      </c>
      <c r="H24" s="387"/>
      <c r="I24" s="387"/>
      <c r="J24" s="387">
        <f>G24</f>
        <v>100000</v>
      </c>
      <c r="K24" s="387"/>
      <c r="L24" s="387">
        <f>G24</f>
        <v>100000</v>
      </c>
      <c r="M24" s="387"/>
      <c r="N24" s="387"/>
      <c r="O24" s="387"/>
      <c r="P24" s="388">
        <v>0</v>
      </c>
    </row>
    <row r="25" spans="1:16">
      <c r="A25" s="390"/>
      <c r="B25" s="391"/>
      <c r="C25" s="392"/>
      <c r="D25" s="393"/>
      <c r="E25" s="393"/>
      <c r="F25" s="393"/>
      <c r="G25" s="393"/>
      <c r="H25" s="393"/>
      <c r="I25" s="393"/>
      <c r="J25" s="393"/>
      <c r="K25" s="393"/>
      <c r="L25" s="393"/>
      <c r="M25" s="393"/>
      <c r="N25" s="393"/>
      <c r="O25" s="393"/>
      <c r="P25" s="394"/>
    </row>
    <row r="26" spans="1:16" ht="27" customHeight="1">
      <c r="B26" s="350" t="s">
        <v>292</v>
      </c>
      <c r="C26" s="93" t="s">
        <v>293</v>
      </c>
      <c r="D26" s="325"/>
      <c r="E26" s="1044" t="s">
        <v>325</v>
      </c>
      <c r="F26" s="1044"/>
      <c r="G26" s="325" t="s">
        <v>239</v>
      </c>
      <c r="H26" s="325"/>
      <c r="I26" s="325"/>
      <c r="J26" s="325" t="s">
        <v>320</v>
      </c>
      <c r="K26" s="1055" t="s">
        <v>314</v>
      </c>
      <c r="L26" s="1055"/>
      <c r="M26" s="9"/>
      <c r="N26" s="9"/>
      <c r="O26" s="9"/>
    </row>
    <row r="27" spans="1:16" ht="22.5" customHeight="1">
      <c r="B27" s="350" t="s">
        <v>294</v>
      </c>
      <c r="C27" s="93"/>
      <c r="D27" s="325"/>
      <c r="E27" s="325" t="s">
        <v>294</v>
      </c>
      <c r="F27" s="325"/>
      <c r="G27" s="325"/>
      <c r="H27" s="325"/>
      <c r="I27" s="325"/>
      <c r="J27" s="325"/>
      <c r="K27" s="325" t="s">
        <v>294</v>
      </c>
      <c r="L27" s="325"/>
      <c r="M27" s="9"/>
      <c r="N27" s="9"/>
      <c r="O27" s="9"/>
    </row>
    <row r="28" spans="1:16">
      <c r="A28" s="1033" t="s">
        <v>295</v>
      </c>
      <c r="B28" s="1034"/>
      <c r="C28" s="1034"/>
      <c r="D28" s="1034"/>
      <c r="E28" s="1034"/>
      <c r="F28" s="1034"/>
      <c r="G28" s="1034"/>
      <c r="H28" s="1034"/>
      <c r="I28" s="1034"/>
      <c r="J28" s="1034"/>
      <c r="K28" s="1034"/>
      <c r="L28" s="1034"/>
      <c r="M28" s="1034"/>
      <c r="N28" s="1034"/>
      <c r="O28" s="1034"/>
      <c r="P28" s="1035"/>
    </row>
    <row r="29" spans="1:16">
      <c r="A29" s="351"/>
      <c r="B29" s="351" t="s">
        <v>296</v>
      </c>
      <c r="C29" s="996">
        <v>1395</v>
      </c>
      <c r="D29" s="997"/>
      <c r="E29" s="997"/>
      <c r="F29" s="998"/>
      <c r="G29" s="352"/>
      <c r="H29" s="205"/>
      <c r="I29" s="205"/>
      <c r="J29" s="205"/>
      <c r="K29" s="205"/>
      <c r="L29" s="205"/>
      <c r="M29" s="205"/>
      <c r="N29" s="205"/>
      <c r="O29" s="205"/>
      <c r="P29" s="351"/>
    </row>
    <row r="30" spans="1:16">
      <c r="A30" s="351"/>
      <c r="B30" s="351"/>
      <c r="C30" s="354" t="s">
        <v>297</v>
      </c>
      <c r="D30" s="999" t="s">
        <v>298</v>
      </c>
      <c r="E30" s="1000"/>
      <c r="F30" s="1001"/>
      <c r="G30" s="205"/>
      <c r="H30" s="999" t="s">
        <v>299</v>
      </c>
      <c r="I30" s="1000"/>
      <c r="J30" s="1000"/>
      <c r="K30" s="1000"/>
      <c r="L30" s="1000"/>
      <c r="M30" s="1000"/>
      <c r="N30" s="1000"/>
      <c r="O30" s="1001"/>
      <c r="P30" s="351"/>
    </row>
    <row r="31" spans="1:16">
      <c r="A31" s="351"/>
      <c r="B31" s="351"/>
      <c r="C31" s="354"/>
      <c r="D31" s="999"/>
      <c r="E31" s="1000"/>
      <c r="F31" s="1001"/>
      <c r="G31" s="205"/>
      <c r="H31" s="999" t="s">
        <v>300</v>
      </c>
      <c r="I31" s="1000"/>
      <c r="J31" s="1000"/>
      <c r="K31" s="1000"/>
      <c r="L31" s="1000"/>
      <c r="M31" s="1000"/>
      <c r="N31" s="1000"/>
      <c r="O31" s="1001"/>
      <c r="P31" s="351"/>
    </row>
    <row r="32" spans="1:16">
      <c r="A32" s="351"/>
      <c r="B32" s="351" t="s">
        <v>301</v>
      </c>
      <c r="C32" s="354"/>
      <c r="D32" s="999" t="s">
        <v>623</v>
      </c>
      <c r="E32" s="1000"/>
      <c r="F32" s="1001"/>
      <c r="G32" s="205"/>
      <c r="H32" s="999" t="s">
        <v>302</v>
      </c>
      <c r="I32" s="1000"/>
      <c r="J32" s="1000"/>
      <c r="K32" s="1000"/>
      <c r="L32" s="1000"/>
      <c r="M32" s="1000"/>
      <c r="N32" s="1000"/>
      <c r="O32" s="1001"/>
      <c r="P32" s="351"/>
    </row>
    <row r="33" spans="1:16">
      <c r="A33" s="351"/>
      <c r="B33" s="351" t="s">
        <v>270</v>
      </c>
      <c r="C33" s="354"/>
      <c r="D33" s="999" t="s">
        <v>170</v>
      </c>
      <c r="E33" s="1000"/>
      <c r="F33" s="1001"/>
      <c r="G33" s="205"/>
      <c r="H33" s="999" t="s">
        <v>272</v>
      </c>
      <c r="I33" s="1000"/>
      <c r="J33" s="1000"/>
      <c r="K33" s="1000"/>
      <c r="L33" s="1000"/>
      <c r="M33" s="1000"/>
      <c r="N33" s="1000"/>
      <c r="O33" s="1001"/>
      <c r="P33" s="351"/>
    </row>
    <row r="34" spans="1:16">
      <c r="A34" s="351"/>
      <c r="B34" s="351"/>
      <c r="C34" s="354"/>
      <c r="D34" s="999"/>
      <c r="E34" s="1000"/>
      <c r="F34" s="1001"/>
      <c r="G34" s="205"/>
      <c r="H34" s="999"/>
      <c r="I34" s="1000"/>
      <c r="J34" s="1000"/>
      <c r="K34" s="1000"/>
      <c r="L34" s="1000"/>
      <c r="M34" s="1000"/>
      <c r="N34" s="1000"/>
      <c r="O34" s="1001"/>
      <c r="P34" s="351"/>
    </row>
    <row r="35" spans="1:16">
      <c r="A35" s="351"/>
      <c r="B35" s="351"/>
      <c r="C35" s="354"/>
      <c r="D35" s="205"/>
      <c r="E35" s="205"/>
      <c r="F35" s="205"/>
      <c r="G35" s="205"/>
      <c r="H35" s="205"/>
      <c r="I35" s="205"/>
      <c r="J35" s="205"/>
      <c r="K35" s="205"/>
      <c r="L35" s="205"/>
      <c r="M35" s="205"/>
      <c r="N35" s="205"/>
      <c r="O35" s="205"/>
      <c r="P35" s="351"/>
    </row>
    <row r="36" spans="1:16">
      <c r="A36" s="1043" t="s">
        <v>668</v>
      </c>
      <c r="B36" s="1043"/>
      <c r="C36" s="1043"/>
      <c r="D36" s="1043"/>
      <c r="E36" s="1043"/>
      <c r="F36" s="1043"/>
      <c r="G36" s="1043"/>
      <c r="H36" s="1043"/>
      <c r="I36" s="1043"/>
      <c r="J36" s="1043"/>
      <c r="K36" s="1043"/>
      <c r="L36" s="1043"/>
      <c r="M36" s="1043"/>
      <c r="N36" s="1043"/>
      <c r="O36" s="1043"/>
      <c r="P36" s="1043"/>
    </row>
    <row r="37" spans="1:16">
      <c r="A37" s="401" t="s">
        <v>265</v>
      </c>
      <c r="B37" s="401" t="s">
        <v>274</v>
      </c>
      <c r="C37" s="401" t="s">
        <v>303</v>
      </c>
      <c r="D37" s="402" t="s">
        <v>304</v>
      </c>
      <c r="E37" s="402" t="s">
        <v>305</v>
      </c>
      <c r="F37" s="402" t="s">
        <v>306</v>
      </c>
      <c r="G37" s="402" t="s">
        <v>279</v>
      </c>
      <c r="H37" s="402" t="s">
        <v>280</v>
      </c>
      <c r="I37" s="402" t="s">
        <v>281</v>
      </c>
      <c r="J37" s="402" t="s">
        <v>282</v>
      </c>
      <c r="K37" s="402" t="s">
        <v>283</v>
      </c>
      <c r="L37" s="402" t="s">
        <v>284</v>
      </c>
      <c r="M37" s="402" t="s">
        <v>307</v>
      </c>
      <c r="N37" s="402" t="s">
        <v>286</v>
      </c>
      <c r="O37" s="402" t="s">
        <v>287</v>
      </c>
      <c r="P37" s="91" t="s">
        <v>288</v>
      </c>
    </row>
    <row r="38" spans="1:16">
      <c r="A38" s="1038" t="s">
        <v>130</v>
      </c>
      <c r="B38" s="1038"/>
      <c r="C38" s="403">
        <f>C39</f>
        <v>23883075.079999998</v>
      </c>
      <c r="D38" s="403">
        <f t="shared" ref="D38:O38" si="3">D39</f>
        <v>336000</v>
      </c>
      <c r="E38" s="403">
        <f t="shared" si="3"/>
        <v>336000</v>
      </c>
      <c r="F38" s="403">
        <f t="shared" si="3"/>
        <v>1624466.6666666667</v>
      </c>
      <c r="G38" s="403">
        <f t="shared" si="3"/>
        <v>2383180.1511111115</v>
      </c>
      <c r="H38" s="403">
        <f t="shared" si="3"/>
        <v>1622380.1511111113</v>
      </c>
      <c r="I38" s="403">
        <f t="shared" si="3"/>
        <v>1236302.1111111112</v>
      </c>
      <c r="J38" s="403">
        <f t="shared" si="3"/>
        <v>1276302.1111111112</v>
      </c>
      <c r="K38" s="403">
        <f t="shared" si="3"/>
        <v>1196302.1111111112</v>
      </c>
      <c r="L38" s="403">
        <f t="shared" si="3"/>
        <v>2718185.4444444445</v>
      </c>
      <c r="M38" s="403">
        <f t="shared" si="3"/>
        <v>3717985.4444444445</v>
      </c>
      <c r="N38" s="403">
        <f t="shared" si="3"/>
        <v>3717985.4444444445</v>
      </c>
      <c r="O38" s="403">
        <f t="shared" si="3"/>
        <v>3717985.4444444445</v>
      </c>
      <c r="P38" s="404">
        <f>SUM(D38:O38)-C38</f>
        <v>0</v>
      </c>
    </row>
    <row r="39" spans="1:16">
      <c r="A39" s="356">
        <v>22</v>
      </c>
      <c r="B39" s="357" t="s">
        <v>290</v>
      </c>
      <c r="C39" s="358">
        <f>SUM(C40:C52)</f>
        <v>23883075.079999998</v>
      </c>
      <c r="D39" s="358">
        <f t="shared" ref="D39:O39" si="4">SUM(D40:D52)</f>
        <v>336000</v>
      </c>
      <c r="E39" s="358">
        <f t="shared" si="4"/>
        <v>336000</v>
      </c>
      <c r="F39" s="358">
        <f t="shared" si="4"/>
        <v>1624466.6666666667</v>
      </c>
      <c r="G39" s="358">
        <f t="shared" si="4"/>
        <v>2383180.1511111115</v>
      </c>
      <c r="H39" s="358">
        <f t="shared" si="4"/>
        <v>1622380.1511111113</v>
      </c>
      <c r="I39" s="358">
        <f t="shared" si="4"/>
        <v>1236302.1111111112</v>
      </c>
      <c r="J39" s="358">
        <f t="shared" si="4"/>
        <v>1276302.1111111112</v>
      </c>
      <c r="K39" s="358">
        <f t="shared" si="4"/>
        <v>1196302.1111111112</v>
      </c>
      <c r="L39" s="358">
        <f t="shared" si="4"/>
        <v>2718185.4444444445</v>
      </c>
      <c r="M39" s="358">
        <f t="shared" si="4"/>
        <v>3717985.4444444445</v>
      </c>
      <c r="N39" s="358">
        <f t="shared" si="4"/>
        <v>3717985.4444444445</v>
      </c>
      <c r="O39" s="358">
        <f t="shared" si="4"/>
        <v>3717985.4444444445</v>
      </c>
      <c r="P39" s="354">
        <f>SUM(D39:O39)-C39</f>
        <v>0</v>
      </c>
    </row>
    <row r="40" spans="1:16">
      <c r="A40" s="359">
        <v>22</v>
      </c>
      <c r="B40" s="380" t="s">
        <v>646</v>
      </c>
      <c r="C40" s="95">
        <f>12*20000</f>
        <v>240000</v>
      </c>
      <c r="D40" s="326"/>
      <c r="E40" s="360"/>
      <c r="F40" s="326"/>
      <c r="G40" s="326"/>
      <c r="H40" s="326">
        <v>80000</v>
      </c>
      <c r="I40" s="326">
        <v>80000</v>
      </c>
      <c r="J40" s="326">
        <v>80000</v>
      </c>
      <c r="K40" s="326"/>
      <c r="L40" s="326"/>
      <c r="M40" s="326"/>
      <c r="N40" s="326"/>
      <c r="O40" s="326"/>
      <c r="P40" s="354">
        <f t="shared" ref="P40:P52" si="5">SUM(D40:O40)-C40</f>
        <v>0</v>
      </c>
    </row>
    <row r="41" spans="1:16" ht="60">
      <c r="A41" s="359">
        <v>22</v>
      </c>
      <c r="B41" s="380" t="s">
        <v>647</v>
      </c>
      <c r="C41" s="95">
        <f>400*4330</f>
        <v>1732000</v>
      </c>
      <c r="D41" s="361"/>
      <c r="E41" s="327"/>
      <c r="F41" s="326">
        <f>C41/6</f>
        <v>288666.66666666669</v>
      </c>
      <c r="G41" s="326">
        <f>C41/6</f>
        <v>288666.66666666669</v>
      </c>
      <c r="H41" s="326">
        <f>C41/6</f>
        <v>288666.66666666669</v>
      </c>
      <c r="I41" s="326">
        <f>C41/6</f>
        <v>288666.66666666669</v>
      </c>
      <c r="J41" s="326">
        <f>C41/6</f>
        <v>288666.66666666669</v>
      </c>
      <c r="K41" s="326">
        <f>C41/6</f>
        <v>288666.66666666669</v>
      </c>
      <c r="L41" s="326"/>
      <c r="M41" s="326"/>
      <c r="N41" s="326"/>
      <c r="O41" s="326"/>
      <c r="P41" s="354">
        <f t="shared" si="5"/>
        <v>0</v>
      </c>
    </row>
    <row r="42" spans="1:16">
      <c r="A42" s="359">
        <v>22</v>
      </c>
      <c r="B42" s="380" t="s">
        <v>648</v>
      </c>
      <c r="C42" s="95">
        <f>110*71620</f>
        <v>7878200</v>
      </c>
      <c r="D42" s="327"/>
      <c r="E42" s="327"/>
      <c r="F42" s="326"/>
      <c r="G42" s="326"/>
      <c r="H42" s="326"/>
      <c r="I42" s="326"/>
      <c r="J42" s="326"/>
      <c r="K42" s="326"/>
      <c r="L42" s="326">
        <f>C42/4</f>
        <v>1969550</v>
      </c>
      <c r="M42" s="326">
        <f>C42/4</f>
        <v>1969550</v>
      </c>
      <c r="N42" s="326">
        <f>C42/4</f>
        <v>1969550</v>
      </c>
      <c r="O42" s="326">
        <f>C42/4</f>
        <v>1969550</v>
      </c>
      <c r="P42" s="354">
        <f t="shared" si="5"/>
        <v>0</v>
      </c>
    </row>
    <row r="43" spans="1:16" ht="30">
      <c r="A43" s="359">
        <v>22</v>
      </c>
      <c r="B43" s="380" t="s">
        <v>576</v>
      </c>
      <c r="C43" s="95">
        <f>50*3450</f>
        <v>172500</v>
      </c>
      <c r="D43" s="327"/>
      <c r="E43" s="327"/>
      <c r="F43" s="326"/>
      <c r="G43" s="326">
        <v>86250</v>
      </c>
      <c r="H43" s="326">
        <v>86250</v>
      </c>
      <c r="I43" s="326"/>
      <c r="J43" s="326"/>
      <c r="K43" s="326"/>
      <c r="L43" s="326"/>
      <c r="M43" s="326"/>
      <c r="N43" s="326"/>
      <c r="O43" s="326"/>
      <c r="P43" s="354">
        <f t="shared" si="5"/>
        <v>0</v>
      </c>
    </row>
    <row r="44" spans="1:16" ht="30">
      <c r="A44" s="359">
        <v>22</v>
      </c>
      <c r="B44" s="380" t="s">
        <v>649</v>
      </c>
      <c r="C44" s="95">
        <f>132*3000*1</f>
        <v>396000</v>
      </c>
      <c r="D44" s="326"/>
      <c r="E44" s="326"/>
      <c r="F44" s="326"/>
      <c r="G44" s="326"/>
      <c r="H44" s="326">
        <f>C44/4</f>
        <v>99000</v>
      </c>
      <c r="I44" s="326">
        <f>C44/4</f>
        <v>99000</v>
      </c>
      <c r="J44" s="326">
        <f>C44/4</f>
        <v>99000</v>
      </c>
      <c r="K44" s="326">
        <f>C44/4</f>
        <v>99000</v>
      </c>
      <c r="L44" s="326"/>
      <c r="M44" s="326"/>
      <c r="N44" s="326"/>
      <c r="O44" s="326"/>
      <c r="P44" s="354">
        <f t="shared" si="5"/>
        <v>0</v>
      </c>
    </row>
    <row r="45" spans="1:16">
      <c r="A45" s="359">
        <v>22</v>
      </c>
      <c r="B45" s="380" t="s">
        <v>308</v>
      </c>
      <c r="C45" s="95">
        <f>20000*12</f>
        <v>240000</v>
      </c>
      <c r="D45" s="327"/>
      <c r="E45" s="326"/>
      <c r="F45" s="326"/>
      <c r="G45" s="326"/>
      <c r="H45" s="326">
        <f>C45/4</f>
        <v>60000</v>
      </c>
      <c r="I45" s="326">
        <f>C45/4</f>
        <v>60000</v>
      </c>
      <c r="J45" s="326">
        <f>C45/4</f>
        <v>60000</v>
      </c>
      <c r="K45" s="326">
        <f>C45/4</f>
        <v>60000</v>
      </c>
      <c r="L45" s="326"/>
      <c r="M45" s="326"/>
      <c r="N45" s="327"/>
      <c r="O45" s="328"/>
      <c r="P45" s="354">
        <f t="shared" si="5"/>
        <v>0</v>
      </c>
    </row>
    <row r="46" spans="1:16">
      <c r="A46" s="362"/>
      <c r="B46" s="380" t="s">
        <v>650</v>
      </c>
      <c r="C46" s="95">
        <f>100*49990</f>
        <v>4999000</v>
      </c>
      <c r="D46" s="327"/>
      <c r="E46" s="326"/>
      <c r="F46" s="326">
        <f>C46/5</f>
        <v>999800</v>
      </c>
      <c r="G46" s="326">
        <f>C46/5</f>
        <v>999800</v>
      </c>
      <c r="H46" s="326"/>
      <c r="I46" s="326"/>
      <c r="J46" s="326"/>
      <c r="K46" s="326"/>
      <c r="L46" s="326"/>
      <c r="M46" s="326">
        <f>C46/5</f>
        <v>999800</v>
      </c>
      <c r="N46" s="327">
        <f>C46/5</f>
        <v>999800</v>
      </c>
      <c r="O46" s="328">
        <f>C46/5</f>
        <v>999800</v>
      </c>
      <c r="P46" s="354">
        <f t="shared" si="5"/>
        <v>0</v>
      </c>
    </row>
    <row r="47" spans="1:16">
      <c r="A47" s="362">
        <v>22</v>
      </c>
      <c r="B47" s="380" t="s">
        <v>46</v>
      </c>
      <c r="C47" s="95">
        <f>12*49971.34</f>
        <v>599656.07999999996</v>
      </c>
      <c r="D47" s="327"/>
      <c r="E47" s="326"/>
      <c r="F47" s="326"/>
      <c r="G47" s="326">
        <f>C47/2</f>
        <v>299828.03999999998</v>
      </c>
      <c r="H47" s="326">
        <f>C47/2</f>
        <v>299828.03999999998</v>
      </c>
      <c r="I47" s="326"/>
      <c r="J47" s="326"/>
      <c r="K47" s="326"/>
      <c r="L47" s="326"/>
      <c r="M47" s="326"/>
      <c r="N47" s="326"/>
      <c r="O47" s="326"/>
      <c r="P47" s="354">
        <f t="shared" si="5"/>
        <v>0</v>
      </c>
    </row>
    <row r="48" spans="1:16">
      <c r="A48" s="362">
        <v>22</v>
      </c>
      <c r="B48" s="380" t="s">
        <v>309</v>
      </c>
      <c r="C48" s="95">
        <v>0</v>
      </c>
      <c r="D48" s="327"/>
      <c r="E48" s="326"/>
      <c r="F48" s="326"/>
      <c r="G48" s="326"/>
      <c r="H48" s="326"/>
      <c r="I48" s="326"/>
      <c r="J48" s="326"/>
      <c r="K48" s="326"/>
      <c r="L48" s="326"/>
      <c r="M48" s="326"/>
      <c r="N48" s="326"/>
      <c r="O48" s="326"/>
      <c r="P48" s="354">
        <f t="shared" si="5"/>
        <v>0</v>
      </c>
    </row>
    <row r="49" spans="1:16" ht="30">
      <c r="A49" s="362">
        <v>22</v>
      </c>
      <c r="B49" s="380" t="s">
        <v>651</v>
      </c>
      <c r="C49" s="95">
        <f>9*20000*9+1*3*20000+1*20000*4+1*20000*5</f>
        <v>1860000</v>
      </c>
      <c r="D49" s="327"/>
      <c r="E49" s="326"/>
      <c r="F49" s="329"/>
      <c r="G49" s="326">
        <f>9*20000</f>
        <v>180000</v>
      </c>
      <c r="H49" s="326">
        <f>9*20000</f>
        <v>180000</v>
      </c>
      <c r="I49" s="326">
        <f>9*20000</f>
        <v>180000</v>
      </c>
      <c r="J49" s="326">
        <f t="shared" ref="J49:O49" si="6">11*20000</f>
        <v>220000</v>
      </c>
      <c r="K49" s="326">
        <f t="shared" si="6"/>
        <v>220000</v>
      </c>
      <c r="L49" s="326">
        <f t="shared" si="6"/>
        <v>220000</v>
      </c>
      <c r="M49" s="326">
        <f t="shared" si="6"/>
        <v>220000</v>
      </c>
      <c r="N49" s="327">
        <f t="shared" si="6"/>
        <v>220000</v>
      </c>
      <c r="O49" s="328">
        <f t="shared" si="6"/>
        <v>220000</v>
      </c>
      <c r="P49" s="354">
        <f t="shared" si="5"/>
        <v>0</v>
      </c>
    </row>
    <row r="50" spans="1:16">
      <c r="A50" s="362">
        <v>22</v>
      </c>
      <c r="B50" s="8" t="s">
        <v>652</v>
      </c>
      <c r="C50" s="95">
        <f>24*9000*12</f>
        <v>2592000</v>
      </c>
      <c r="D50" s="327">
        <f>24*9000</f>
        <v>216000</v>
      </c>
      <c r="E50" s="326">
        <f t="shared" ref="E50:O50" si="7">24*9000</f>
        <v>216000</v>
      </c>
      <c r="F50" s="326">
        <f t="shared" si="7"/>
        <v>216000</v>
      </c>
      <c r="G50" s="326">
        <f t="shared" si="7"/>
        <v>216000</v>
      </c>
      <c r="H50" s="326">
        <f t="shared" si="7"/>
        <v>216000</v>
      </c>
      <c r="I50" s="326">
        <f t="shared" si="7"/>
        <v>216000</v>
      </c>
      <c r="J50" s="326">
        <f t="shared" si="7"/>
        <v>216000</v>
      </c>
      <c r="K50" s="326">
        <f t="shared" si="7"/>
        <v>216000</v>
      </c>
      <c r="L50" s="326">
        <f t="shared" si="7"/>
        <v>216000</v>
      </c>
      <c r="M50" s="326">
        <f t="shared" si="7"/>
        <v>216000</v>
      </c>
      <c r="N50" s="327">
        <f t="shared" si="7"/>
        <v>216000</v>
      </c>
      <c r="O50" s="328">
        <f t="shared" si="7"/>
        <v>216000</v>
      </c>
      <c r="P50" s="354">
        <f t="shared" si="5"/>
        <v>0</v>
      </c>
    </row>
    <row r="51" spans="1:16">
      <c r="A51" s="362">
        <v>22</v>
      </c>
      <c r="B51" s="8" t="s">
        <v>620</v>
      </c>
      <c r="C51" s="363">
        <f>2*60000*12</f>
        <v>1440000</v>
      </c>
      <c r="D51" s="326">
        <f>C51/12</f>
        <v>120000</v>
      </c>
      <c r="E51" s="326">
        <f>C51/12</f>
        <v>120000</v>
      </c>
      <c r="F51" s="326">
        <f>C51/12</f>
        <v>120000</v>
      </c>
      <c r="G51" s="326">
        <f>C51/12</f>
        <v>120000</v>
      </c>
      <c r="H51" s="326">
        <f>C51/12</f>
        <v>120000</v>
      </c>
      <c r="I51" s="326">
        <f>C51/12</f>
        <v>120000</v>
      </c>
      <c r="J51" s="326">
        <f>C51/12</f>
        <v>120000</v>
      </c>
      <c r="K51" s="326">
        <f>C51/12</f>
        <v>120000</v>
      </c>
      <c r="L51" s="326">
        <f>C51/12</f>
        <v>120000</v>
      </c>
      <c r="M51" s="326">
        <f>C51/12</f>
        <v>120000</v>
      </c>
      <c r="N51" s="326">
        <f>C51/12</f>
        <v>120000</v>
      </c>
      <c r="O51" s="326">
        <f>C51/12</f>
        <v>120000</v>
      </c>
      <c r="P51" s="354">
        <f t="shared" si="5"/>
        <v>0</v>
      </c>
    </row>
    <row r="52" spans="1:16" ht="45">
      <c r="A52" s="362">
        <v>22</v>
      </c>
      <c r="B52" s="380" t="s">
        <v>577</v>
      </c>
      <c r="C52" s="363">
        <v>1733719</v>
      </c>
      <c r="D52" s="327"/>
      <c r="E52" s="326"/>
      <c r="F52" s="326"/>
      <c r="G52" s="326">
        <f>C52/9</f>
        <v>192635.44444444444</v>
      </c>
      <c r="H52" s="326">
        <f>C52/9</f>
        <v>192635.44444444444</v>
      </c>
      <c r="I52" s="326">
        <f>C52/9</f>
        <v>192635.44444444444</v>
      </c>
      <c r="J52" s="326">
        <f>C52/9</f>
        <v>192635.44444444444</v>
      </c>
      <c r="K52" s="326">
        <f>C52/9</f>
        <v>192635.44444444444</v>
      </c>
      <c r="L52" s="326">
        <f>C52/9</f>
        <v>192635.44444444444</v>
      </c>
      <c r="M52" s="326">
        <f>C52/9</f>
        <v>192635.44444444444</v>
      </c>
      <c r="N52" s="326">
        <f>C52/9</f>
        <v>192635.44444444444</v>
      </c>
      <c r="O52" s="326">
        <f>C52/9</f>
        <v>192635.44444444444</v>
      </c>
      <c r="P52" s="354">
        <f t="shared" si="5"/>
        <v>0</v>
      </c>
    </row>
    <row r="53" spans="1:16" ht="27" customHeight="1">
      <c r="A53" s="353"/>
      <c r="B53" s="364" t="s">
        <v>292</v>
      </c>
      <c r="C53" s="308" t="s">
        <v>313</v>
      </c>
      <c r="D53" s="361"/>
      <c r="E53" s="1012" t="s">
        <v>325</v>
      </c>
      <c r="F53" s="1012"/>
      <c r="G53" s="361" t="s">
        <v>241</v>
      </c>
      <c r="H53" s="361"/>
      <c r="I53" s="361"/>
      <c r="J53" s="361" t="s">
        <v>320</v>
      </c>
      <c r="K53" s="1012" t="s">
        <v>314</v>
      </c>
      <c r="L53" s="1012"/>
      <c r="M53" s="365"/>
      <c r="N53" s="365"/>
      <c r="O53" s="365"/>
      <c r="P53" s="353"/>
    </row>
    <row r="54" spans="1:16" ht="22.5" customHeight="1">
      <c r="A54" s="353"/>
      <c r="B54" s="364" t="s">
        <v>294</v>
      </c>
      <c r="C54" s="308"/>
      <c r="D54" s="361"/>
      <c r="E54" s="361" t="s">
        <v>294</v>
      </c>
      <c r="F54" s="361"/>
      <c r="G54" s="361"/>
      <c r="H54" s="361"/>
      <c r="I54" s="361"/>
      <c r="J54" s="361"/>
      <c r="K54" s="361" t="s">
        <v>294</v>
      </c>
      <c r="L54" s="361"/>
      <c r="M54" s="365"/>
      <c r="N54" s="365"/>
      <c r="O54" s="365"/>
      <c r="P54" s="353"/>
    </row>
    <row r="55" spans="1:16">
      <c r="A55" s="1033" t="s">
        <v>624</v>
      </c>
      <c r="B55" s="1034"/>
      <c r="C55" s="1034"/>
      <c r="D55" s="1034"/>
      <c r="E55" s="1034"/>
      <c r="F55" s="1034"/>
      <c r="G55" s="1034"/>
      <c r="H55" s="1034"/>
      <c r="I55" s="1034"/>
      <c r="J55" s="1034"/>
      <c r="K55" s="1034"/>
      <c r="L55" s="1034"/>
      <c r="M55" s="1034"/>
      <c r="N55" s="1034"/>
      <c r="O55" s="1034"/>
      <c r="P55" s="1035"/>
    </row>
    <row r="56" spans="1:16" s="379" customFormat="1">
      <c r="A56" s="405"/>
      <c r="B56" s="406" t="s">
        <v>296</v>
      </c>
      <c r="C56" s="1039">
        <v>1396</v>
      </c>
      <c r="D56" s="1039"/>
      <c r="E56" s="1039"/>
      <c r="F56" s="1039"/>
      <c r="G56" s="377"/>
      <c r="H56" s="377"/>
      <c r="I56" s="377"/>
      <c r="J56" s="377"/>
      <c r="K56" s="377"/>
      <c r="L56" s="377"/>
      <c r="M56" s="377"/>
      <c r="N56" s="377"/>
      <c r="O56" s="377"/>
      <c r="P56" s="405"/>
    </row>
    <row r="57" spans="1:16" s="379" customFormat="1">
      <c r="A57" s="405"/>
      <c r="B57" s="406"/>
      <c r="C57" s="407" t="s">
        <v>265</v>
      </c>
      <c r="D57" s="1039" t="s">
        <v>274</v>
      </c>
      <c r="E57" s="1039"/>
      <c r="F57" s="1039"/>
      <c r="G57" s="377"/>
      <c r="H57" s="1039" t="s">
        <v>299</v>
      </c>
      <c r="I57" s="1039"/>
      <c r="J57" s="1039"/>
      <c r="K57" s="1039"/>
      <c r="L57" s="1039"/>
      <c r="M57" s="1039"/>
      <c r="N57" s="1039"/>
      <c r="O57" s="1039"/>
      <c r="P57" s="405"/>
    </row>
    <row r="58" spans="1:16" s="379" customFormat="1">
      <c r="A58" s="405"/>
      <c r="B58" s="406" t="s">
        <v>658</v>
      </c>
      <c r="C58" s="405"/>
      <c r="D58" s="1040"/>
      <c r="E58" s="1040"/>
      <c r="F58" s="1040"/>
      <c r="G58" s="377"/>
      <c r="H58" s="1039" t="s">
        <v>659</v>
      </c>
      <c r="I58" s="1039"/>
      <c r="J58" s="1039"/>
      <c r="K58" s="1039"/>
      <c r="L58" s="1039"/>
      <c r="M58" s="1039"/>
      <c r="N58" s="1039"/>
      <c r="O58" s="1039"/>
      <c r="P58" s="405"/>
    </row>
    <row r="59" spans="1:16" s="379" customFormat="1">
      <c r="A59" s="405"/>
      <c r="B59" s="406" t="s">
        <v>660</v>
      </c>
      <c r="C59" s="405"/>
      <c r="D59" s="1040"/>
      <c r="E59" s="1040"/>
      <c r="F59" s="1040"/>
      <c r="G59" s="377"/>
      <c r="H59" s="1039" t="s">
        <v>661</v>
      </c>
      <c r="I59" s="1039"/>
      <c r="J59" s="1039"/>
      <c r="K59" s="1039"/>
      <c r="L59" s="1039"/>
      <c r="M59" s="1039"/>
      <c r="N59" s="1039"/>
      <c r="O59" s="1039"/>
      <c r="P59" s="405"/>
    </row>
    <row r="60" spans="1:16" s="379" customFormat="1">
      <c r="A60" s="405"/>
      <c r="B60" s="377"/>
      <c r="C60" s="377"/>
      <c r="D60" s="1041"/>
      <c r="E60" s="1041"/>
      <c r="F60" s="1041"/>
      <c r="G60" s="377"/>
      <c r="H60" s="1042" t="s">
        <v>662</v>
      </c>
      <c r="I60" s="1042"/>
      <c r="J60" s="1042"/>
      <c r="K60" s="1042"/>
      <c r="L60" s="1042"/>
      <c r="M60" s="1042"/>
      <c r="N60" s="1042"/>
      <c r="O60" s="1042"/>
      <c r="P60" s="405"/>
    </row>
    <row r="61" spans="1:16" s="379" customFormat="1">
      <c r="A61" s="405"/>
      <c r="B61" s="377"/>
      <c r="C61" s="377"/>
      <c r="D61" s="1041"/>
      <c r="E61" s="1041"/>
      <c r="F61" s="1041"/>
      <c r="G61" s="377"/>
      <c r="H61" s="1041"/>
      <c r="I61" s="1041"/>
      <c r="J61" s="1041"/>
      <c r="K61" s="1041"/>
      <c r="L61" s="1041"/>
      <c r="M61" s="1041"/>
      <c r="N61" s="1041"/>
      <c r="O61" s="1041"/>
      <c r="P61" s="405"/>
    </row>
    <row r="62" spans="1:16" s="379" customFormat="1">
      <c r="A62" s="405"/>
      <c r="B62" s="377"/>
      <c r="C62" s="377"/>
      <c r="D62" s="377"/>
      <c r="E62" s="377"/>
      <c r="F62" s="377"/>
      <c r="G62" s="377"/>
      <c r="H62" s="377"/>
      <c r="I62" s="377"/>
      <c r="J62" s="377"/>
      <c r="K62" s="377"/>
      <c r="L62" s="377"/>
      <c r="M62" s="377"/>
      <c r="N62" s="377"/>
      <c r="O62" s="377"/>
      <c r="P62" s="405"/>
    </row>
    <row r="63" spans="1:16" s="379" customFormat="1">
      <c r="A63" s="1036" t="s">
        <v>663</v>
      </c>
      <c r="B63" s="1036"/>
      <c r="C63" s="1036"/>
      <c r="D63" s="1036"/>
      <c r="E63" s="1036"/>
      <c r="F63" s="1036"/>
      <c r="G63" s="1036"/>
      <c r="H63" s="1036"/>
      <c r="I63" s="1036"/>
      <c r="J63" s="1036"/>
      <c r="K63" s="1036"/>
      <c r="L63" s="1036"/>
      <c r="M63" s="1036"/>
      <c r="N63" s="1036"/>
      <c r="O63" s="1036"/>
      <c r="P63" s="1036"/>
    </row>
    <row r="64" spans="1:16" s="379" customFormat="1">
      <c r="A64" s="94" t="s">
        <v>273</v>
      </c>
      <c r="B64" s="94" t="s">
        <v>274</v>
      </c>
      <c r="C64" s="94" t="s">
        <v>303</v>
      </c>
      <c r="D64" s="94" t="s">
        <v>304</v>
      </c>
      <c r="E64" s="94" t="s">
        <v>305</v>
      </c>
      <c r="F64" s="94" t="s">
        <v>306</v>
      </c>
      <c r="G64" s="94" t="s">
        <v>279</v>
      </c>
      <c r="H64" s="94" t="s">
        <v>280</v>
      </c>
      <c r="I64" s="94" t="s">
        <v>281</v>
      </c>
      <c r="J64" s="94" t="s">
        <v>282</v>
      </c>
      <c r="K64" s="94" t="s">
        <v>283</v>
      </c>
      <c r="L64" s="94" t="s">
        <v>284</v>
      </c>
      <c r="M64" s="94" t="s">
        <v>307</v>
      </c>
      <c r="N64" s="94" t="s">
        <v>286</v>
      </c>
      <c r="O64" s="94" t="s">
        <v>287</v>
      </c>
      <c r="P64" s="94" t="s">
        <v>288</v>
      </c>
    </row>
    <row r="65" spans="1:17" s="379" customFormat="1">
      <c r="A65" s="1037" t="s">
        <v>207</v>
      </c>
      <c r="B65" s="1037"/>
      <c r="C65" s="408">
        <f>SUM(C66+C71)</f>
        <v>44637487.599999994</v>
      </c>
      <c r="D65" s="408">
        <f t="shared" ref="D65:O65" si="8">SUM(D66+D71)</f>
        <v>0</v>
      </c>
      <c r="E65" s="408">
        <f t="shared" si="8"/>
        <v>2445000</v>
      </c>
      <c r="F65" s="408">
        <f t="shared" si="8"/>
        <v>3125000</v>
      </c>
      <c r="G65" s="408">
        <f t="shared" si="8"/>
        <v>8960333.1999999993</v>
      </c>
      <c r="H65" s="408">
        <f t="shared" si="8"/>
        <v>1859866.6</v>
      </c>
      <c r="I65" s="408">
        <f t="shared" si="8"/>
        <v>1859866.6</v>
      </c>
      <c r="J65" s="408">
        <f t="shared" si="8"/>
        <v>10403910.699999999</v>
      </c>
      <c r="K65" s="408">
        <f t="shared" si="8"/>
        <v>1859866.6</v>
      </c>
      <c r="L65" s="408">
        <f t="shared" si="8"/>
        <v>1859866.6</v>
      </c>
      <c r="M65" s="408">
        <f t="shared" si="8"/>
        <v>1859866.6</v>
      </c>
      <c r="N65" s="408">
        <f t="shared" si="8"/>
        <v>10403910.699999999</v>
      </c>
      <c r="O65" s="408">
        <f t="shared" si="8"/>
        <v>0</v>
      </c>
      <c r="P65" s="417">
        <f ca="1">SUM(D65:P65)-C65</f>
        <v>0</v>
      </c>
    </row>
    <row r="66" spans="1:17" s="379" customFormat="1">
      <c r="A66" s="1038" t="s">
        <v>657</v>
      </c>
      <c r="B66" s="1038"/>
      <c r="C66" s="403">
        <f>SUM(C67:C70)</f>
        <v>21128932.799999997</v>
      </c>
      <c r="D66" s="403">
        <f t="shared" ref="D66:O66" si="9">SUM(D67:D70)</f>
        <v>0</v>
      </c>
      <c r="E66" s="403">
        <f t="shared" si="9"/>
        <v>2445000</v>
      </c>
      <c r="F66" s="403">
        <f t="shared" si="9"/>
        <v>3125000</v>
      </c>
      <c r="G66" s="403">
        <f t="shared" si="9"/>
        <v>2539866.6</v>
      </c>
      <c r="H66" s="403">
        <f t="shared" si="9"/>
        <v>1859866.6</v>
      </c>
      <c r="I66" s="403">
        <f t="shared" si="9"/>
        <v>1859866.6</v>
      </c>
      <c r="J66" s="403">
        <f t="shared" si="9"/>
        <v>1859866.6</v>
      </c>
      <c r="K66" s="403">
        <f t="shared" si="9"/>
        <v>1859866.6</v>
      </c>
      <c r="L66" s="403">
        <f t="shared" si="9"/>
        <v>1859866.6</v>
      </c>
      <c r="M66" s="403">
        <f t="shared" si="9"/>
        <v>1859866.6</v>
      </c>
      <c r="N66" s="403">
        <f t="shared" si="9"/>
        <v>1859866.6</v>
      </c>
      <c r="O66" s="403">
        <f t="shared" si="9"/>
        <v>0</v>
      </c>
      <c r="P66" s="418">
        <f>SUM(D66:O66)-C66</f>
        <v>0</v>
      </c>
    </row>
    <row r="67" spans="1:17" s="379" customFormat="1">
      <c r="A67" s="96">
        <v>22</v>
      </c>
      <c r="B67" s="8" t="s">
        <v>310</v>
      </c>
      <c r="C67" s="97">
        <f>SUM(D67:O67)</f>
        <v>13854932.799999999</v>
      </c>
      <c r="D67" s="98"/>
      <c r="E67" s="98"/>
      <c r="F67" s="99"/>
      <c r="G67" s="99">
        <v>1731866.6</v>
      </c>
      <c r="H67" s="99">
        <v>1731866.6</v>
      </c>
      <c r="I67" s="99">
        <v>1731866.6</v>
      </c>
      <c r="J67" s="99">
        <v>1731866.6</v>
      </c>
      <c r="K67" s="99">
        <v>1731866.6</v>
      </c>
      <c r="L67" s="99">
        <v>1731866.6</v>
      </c>
      <c r="M67" s="99">
        <v>1731866.6</v>
      </c>
      <c r="N67" s="99">
        <v>1731866.6</v>
      </c>
      <c r="O67" s="415"/>
      <c r="P67" s="415">
        <f>SUM(D67:O67)-C67</f>
        <v>0</v>
      </c>
      <c r="Q67" s="366"/>
    </row>
    <row r="68" spans="1:17" s="379" customFormat="1">
      <c r="A68" s="96">
        <v>22</v>
      </c>
      <c r="B68" s="8" t="s">
        <v>311</v>
      </c>
      <c r="C68" s="97">
        <f t="shared" ref="C68:C70" si="10">SUM(D68:O68)</f>
        <v>1024000</v>
      </c>
      <c r="D68" s="99"/>
      <c r="E68" s="99"/>
      <c r="F68" s="99"/>
      <c r="G68" s="99">
        <v>128000</v>
      </c>
      <c r="H68" s="99">
        <v>128000</v>
      </c>
      <c r="I68" s="99">
        <v>128000</v>
      </c>
      <c r="J68" s="99">
        <v>128000</v>
      </c>
      <c r="K68" s="99">
        <v>128000</v>
      </c>
      <c r="L68" s="99">
        <v>128000</v>
      </c>
      <c r="M68" s="99">
        <v>128000</v>
      </c>
      <c r="N68" s="99">
        <v>128000</v>
      </c>
      <c r="O68" s="415"/>
      <c r="P68" s="415">
        <f>SUM(D68:O68)-C68</f>
        <v>0</v>
      </c>
      <c r="Q68" s="367"/>
    </row>
    <row r="69" spans="1:17" s="379" customFormat="1">
      <c r="A69" s="96">
        <v>22</v>
      </c>
      <c r="B69" s="8" t="s">
        <v>505</v>
      </c>
      <c r="C69" s="97">
        <f t="shared" si="10"/>
        <v>4890000</v>
      </c>
      <c r="D69" s="98"/>
      <c r="E69" s="99">
        <v>2445000</v>
      </c>
      <c r="F69" s="99">
        <v>2445000</v>
      </c>
      <c r="G69" s="99"/>
      <c r="H69" s="99"/>
      <c r="I69" s="99"/>
      <c r="J69" s="99"/>
      <c r="K69" s="99"/>
      <c r="L69" s="99"/>
      <c r="M69" s="100"/>
      <c r="N69" s="101"/>
      <c r="O69" s="416"/>
      <c r="P69" s="415">
        <f t="shared" ref="P69:P70" si="11">SUM(D69:O69)-C69</f>
        <v>0</v>
      </c>
    </row>
    <row r="70" spans="1:17" s="379" customFormat="1">
      <c r="A70" s="96">
        <v>22</v>
      </c>
      <c r="B70" s="8" t="s">
        <v>312</v>
      </c>
      <c r="C70" s="97">
        <f t="shared" si="10"/>
        <v>1360000</v>
      </c>
      <c r="D70" s="98"/>
      <c r="E70" s="99"/>
      <c r="F70" s="99">
        <v>680000</v>
      </c>
      <c r="G70" s="99">
        <v>680000</v>
      </c>
      <c r="H70" s="99"/>
      <c r="I70" s="99"/>
      <c r="J70" s="99"/>
      <c r="K70" s="99"/>
      <c r="L70" s="99"/>
      <c r="M70" s="100"/>
      <c r="N70" s="99"/>
      <c r="O70" s="102"/>
      <c r="P70" s="415">
        <f t="shared" si="11"/>
        <v>0</v>
      </c>
    </row>
    <row r="71" spans="1:17" s="379" customFormat="1">
      <c r="A71" s="1038" t="s">
        <v>666</v>
      </c>
      <c r="B71" s="1038"/>
      <c r="C71" s="403">
        <f>SUM(C72:C76)</f>
        <v>23508554.799999997</v>
      </c>
      <c r="D71" s="403">
        <f t="shared" ref="D71:O71" si="12">SUM(D72:D76)</f>
        <v>0</v>
      </c>
      <c r="E71" s="403">
        <f t="shared" si="12"/>
        <v>0</v>
      </c>
      <c r="F71" s="403">
        <f t="shared" si="12"/>
        <v>0</v>
      </c>
      <c r="G71" s="403">
        <f t="shared" si="12"/>
        <v>6420466.5999999996</v>
      </c>
      <c r="H71" s="403">
        <f t="shared" si="12"/>
        <v>0</v>
      </c>
      <c r="I71" s="403">
        <f t="shared" si="12"/>
        <v>0</v>
      </c>
      <c r="J71" s="403">
        <f t="shared" si="12"/>
        <v>8544044.0999999996</v>
      </c>
      <c r="K71" s="403">
        <f t="shared" si="12"/>
        <v>0</v>
      </c>
      <c r="L71" s="403">
        <f t="shared" si="12"/>
        <v>0</v>
      </c>
      <c r="M71" s="403">
        <f t="shared" si="12"/>
        <v>0</v>
      </c>
      <c r="N71" s="403">
        <f t="shared" si="12"/>
        <v>8544044.0999999996</v>
      </c>
      <c r="O71" s="403">
        <f t="shared" si="12"/>
        <v>0</v>
      </c>
      <c r="P71" s="419">
        <f>SUM(D71:O71)-C71</f>
        <v>0</v>
      </c>
    </row>
    <row r="72" spans="1:17" s="379" customFormat="1" ht="33.75" customHeight="1">
      <c r="A72" s="96">
        <v>25</v>
      </c>
      <c r="B72" s="4" t="s">
        <v>664</v>
      </c>
      <c r="C72" s="95">
        <f>SUM(D72:O72)</f>
        <v>19261399.799999997</v>
      </c>
      <c r="D72" s="409"/>
      <c r="E72" s="410"/>
      <c r="F72" s="410"/>
      <c r="G72" s="410">
        <v>6420466.5999999996</v>
      </c>
      <c r="H72" s="410"/>
      <c r="I72" s="410"/>
      <c r="J72" s="410">
        <v>6420466.5999999996</v>
      </c>
      <c r="K72" s="410"/>
      <c r="L72" s="410"/>
      <c r="M72" s="410"/>
      <c r="N72" s="410">
        <v>6420466.5999999996</v>
      </c>
      <c r="O72" s="411"/>
      <c r="P72" s="420">
        <f>SUM(D72:O72)-C72</f>
        <v>0</v>
      </c>
    </row>
    <row r="73" spans="1:17" s="379" customFormat="1">
      <c r="A73" s="96">
        <v>25</v>
      </c>
      <c r="B73" s="8" t="s">
        <v>506</v>
      </c>
      <c r="C73" s="95">
        <f t="shared" ref="C73:C76" si="13">SUM(D73:O73)</f>
        <v>600000</v>
      </c>
      <c r="D73" s="412"/>
      <c r="E73" s="413"/>
      <c r="F73" s="413"/>
      <c r="G73" s="413"/>
      <c r="H73" s="413"/>
      <c r="I73" s="413"/>
      <c r="J73" s="413">
        <v>300000</v>
      </c>
      <c r="K73" s="413"/>
      <c r="L73" s="413"/>
      <c r="M73" s="410"/>
      <c r="N73" s="413">
        <v>300000</v>
      </c>
      <c r="O73" s="411"/>
      <c r="P73" s="420">
        <f t="shared" ref="P73:P76" si="14">SUM(D73:O73)-C73</f>
        <v>0</v>
      </c>
    </row>
    <row r="74" spans="1:17" s="379" customFormat="1" ht="30">
      <c r="A74" s="96">
        <v>25</v>
      </c>
      <c r="B74" s="8" t="s">
        <v>507</v>
      </c>
      <c r="C74" s="95">
        <f t="shared" si="13"/>
        <v>1182457</v>
      </c>
      <c r="D74" s="412"/>
      <c r="E74" s="413"/>
      <c r="F74" s="413"/>
      <c r="G74" s="413"/>
      <c r="H74" s="413"/>
      <c r="I74" s="413"/>
      <c r="J74" s="413">
        <v>591228.5</v>
      </c>
      <c r="K74" s="413"/>
      <c r="L74" s="413"/>
      <c r="M74" s="410"/>
      <c r="N74" s="413">
        <v>591228.5</v>
      </c>
      <c r="O74" s="411"/>
      <c r="P74" s="420">
        <f t="shared" si="14"/>
        <v>0</v>
      </c>
    </row>
    <row r="75" spans="1:17" s="379" customFormat="1" ht="30">
      <c r="A75" s="96">
        <v>25</v>
      </c>
      <c r="B75" s="8" t="s">
        <v>480</v>
      </c>
      <c r="C75" s="95">
        <f t="shared" si="13"/>
        <v>600000</v>
      </c>
      <c r="D75" s="98"/>
      <c r="E75" s="99"/>
      <c r="F75" s="99"/>
      <c r="G75" s="99"/>
      <c r="H75" s="99"/>
      <c r="I75" s="99"/>
      <c r="J75" s="99">
        <v>300000</v>
      </c>
      <c r="K75" s="99"/>
      <c r="L75" s="99"/>
      <c r="M75" s="100"/>
      <c r="N75" s="99">
        <v>300000</v>
      </c>
      <c r="O75" s="102"/>
      <c r="P75" s="420">
        <f t="shared" si="14"/>
        <v>0</v>
      </c>
    </row>
    <row r="76" spans="1:17" s="379" customFormat="1" ht="49.5" customHeight="1">
      <c r="A76" s="414">
        <v>25</v>
      </c>
      <c r="B76" s="8" t="s">
        <v>665</v>
      </c>
      <c r="C76" s="95">
        <f t="shared" si="13"/>
        <v>1864698</v>
      </c>
      <c r="D76" s="412"/>
      <c r="E76" s="413"/>
      <c r="F76" s="413"/>
      <c r="G76" s="413"/>
      <c r="H76" s="413"/>
      <c r="I76" s="413"/>
      <c r="J76" s="413">
        <v>932349</v>
      </c>
      <c r="K76" s="413"/>
      <c r="L76" s="413"/>
      <c r="M76" s="410"/>
      <c r="N76" s="413">
        <v>932349</v>
      </c>
      <c r="O76" s="411"/>
      <c r="P76" s="420">
        <f t="shared" si="14"/>
        <v>0</v>
      </c>
    </row>
    <row r="77" spans="1:17" ht="34.5" customHeight="1">
      <c r="B77" s="322" t="s">
        <v>292</v>
      </c>
      <c r="C77" s="87" t="s">
        <v>619</v>
      </c>
      <c r="D77" s="9"/>
      <c r="E77" s="992" t="s">
        <v>325</v>
      </c>
      <c r="F77" s="992"/>
      <c r="G77" s="9" t="s">
        <v>239</v>
      </c>
      <c r="H77" s="9"/>
      <c r="I77" s="9"/>
      <c r="J77" s="9" t="s">
        <v>320</v>
      </c>
      <c r="K77" s="992" t="s">
        <v>314</v>
      </c>
      <c r="L77" s="992"/>
      <c r="M77" s="9"/>
      <c r="N77" s="9"/>
      <c r="O77" s="9"/>
    </row>
    <row r="78" spans="1:17" ht="40.5" customHeight="1">
      <c r="B78" s="322" t="s">
        <v>294</v>
      </c>
      <c r="C78" s="87"/>
      <c r="D78" s="9"/>
      <c r="E78" s="9" t="s">
        <v>294</v>
      </c>
      <c r="F78" s="9"/>
      <c r="G78" s="9"/>
      <c r="H78" s="9"/>
      <c r="I78" s="9"/>
      <c r="J78" s="9"/>
      <c r="K78" s="9" t="s">
        <v>294</v>
      </c>
      <c r="L78" s="9"/>
      <c r="M78" s="9"/>
      <c r="N78" s="9"/>
      <c r="O78" s="9"/>
    </row>
    <row r="79" spans="1:17" ht="22.5" customHeight="1">
      <c r="A79" s="993" t="s">
        <v>504</v>
      </c>
      <c r="B79" s="994"/>
      <c r="C79" s="994"/>
      <c r="D79" s="994"/>
      <c r="E79" s="994"/>
      <c r="F79" s="994"/>
      <c r="G79" s="994"/>
      <c r="H79" s="994"/>
      <c r="I79" s="994"/>
      <c r="J79" s="994"/>
      <c r="K79" s="994"/>
      <c r="L79" s="994"/>
      <c r="M79" s="994"/>
      <c r="N79" s="994"/>
      <c r="O79" s="994"/>
      <c r="P79" s="995"/>
    </row>
    <row r="80" spans="1:17">
      <c r="A80" s="356"/>
      <c r="B80" s="351" t="s">
        <v>622</v>
      </c>
      <c r="C80" s="996">
        <v>1395</v>
      </c>
      <c r="D80" s="997"/>
      <c r="E80" s="997"/>
      <c r="F80" s="998"/>
      <c r="G80" s="205"/>
      <c r="H80" s="205"/>
      <c r="I80" s="205"/>
      <c r="J80" s="205"/>
      <c r="K80" s="205"/>
      <c r="L80" s="205"/>
      <c r="M80" s="205"/>
      <c r="N80" s="205"/>
      <c r="O80" s="205"/>
      <c r="P80" s="351"/>
    </row>
    <row r="81" spans="1:16">
      <c r="A81" s="356"/>
      <c r="B81" s="351"/>
      <c r="C81" s="354" t="s">
        <v>265</v>
      </c>
      <c r="D81" s="999" t="s">
        <v>266</v>
      </c>
      <c r="E81" s="1000"/>
      <c r="F81" s="1001"/>
      <c r="G81" s="205"/>
      <c r="H81" s="1002" t="s">
        <v>267</v>
      </c>
      <c r="I81" s="1003"/>
      <c r="J81" s="1003"/>
      <c r="K81" s="1003"/>
      <c r="L81" s="1003"/>
      <c r="M81" s="1003"/>
      <c r="N81" s="1003"/>
      <c r="O81" s="1004"/>
      <c r="P81" s="351"/>
    </row>
    <row r="82" spans="1:16">
      <c r="A82" s="356"/>
      <c r="B82" s="351" t="s">
        <v>268</v>
      </c>
      <c r="C82" s="354"/>
      <c r="D82" s="205"/>
      <c r="E82" s="205"/>
      <c r="F82" s="205"/>
      <c r="G82" s="205"/>
      <c r="H82" s="999" t="s">
        <v>269</v>
      </c>
      <c r="I82" s="1000"/>
      <c r="J82" s="1000"/>
      <c r="K82" s="1000"/>
      <c r="L82" s="1000"/>
      <c r="M82" s="1000"/>
      <c r="N82" s="1000"/>
      <c r="O82" s="1001"/>
      <c r="P82" s="351"/>
    </row>
    <row r="83" spans="1:16">
      <c r="A83" s="356"/>
      <c r="B83" s="351" t="s">
        <v>270</v>
      </c>
      <c r="C83" s="354"/>
      <c r="D83" s="205"/>
      <c r="E83" s="205"/>
      <c r="F83" s="205"/>
      <c r="G83" s="205"/>
      <c r="H83" s="999" t="s">
        <v>271</v>
      </c>
      <c r="I83" s="1000"/>
      <c r="J83" s="1000"/>
      <c r="K83" s="1000"/>
      <c r="L83" s="1000"/>
      <c r="M83" s="1000"/>
      <c r="N83" s="1000"/>
      <c r="O83" s="1001"/>
      <c r="P83" s="351"/>
    </row>
    <row r="84" spans="1:16">
      <c r="A84" s="356"/>
      <c r="B84" s="351"/>
      <c r="C84" s="354"/>
      <c r="D84" s="205"/>
      <c r="E84" s="205"/>
      <c r="F84" s="205"/>
      <c r="G84" s="205"/>
      <c r="H84" s="999" t="s">
        <v>272</v>
      </c>
      <c r="I84" s="1000"/>
      <c r="J84" s="1000"/>
      <c r="K84" s="1000"/>
      <c r="L84" s="1000"/>
      <c r="M84" s="1000"/>
      <c r="N84" s="1000"/>
      <c r="O84" s="1001"/>
      <c r="P84" s="351"/>
    </row>
    <row r="85" spans="1:16">
      <c r="A85" s="1007" t="s">
        <v>670</v>
      </c>
      <c r="B85" s="1008"/>
      <c r="C85" s="1008"/>
      <c r="D85" s="1008"/>
      <c r="E85" s="1008"/>
      <c r="F85" s="1008"/>
      <c r="G85" s="1008"/>
      <c r="H85" s="1008"/>
      <c r="I85" s="1008"/>
      <c r="J85" s="1008"/>
      <c r="K85" s="1008"/>
      <c r="L85" s="1008"/>
      <c r="M85" s="1008"/>
      <c r="N85" s="1008"/>
      <c r="O85" s="1009"/>
      <c r="P85" s="377"/>
    </row>
    <row r="86" spans="1:16">
      <c r="A86" s="424" t="s">
        <v>265</v>
      </c>
      <c r="B86" s="425" t="s">
        <v>274</v>
      </c>
      <c r="C86" s="383" t="s">
        <v>275</v>
      </c>
      <c r="D86" s="383" t="s">
        <v>276</v>
      </c>
      <c r="E86" s="383" t="s">
        <v>277</v>
      </c>
      <c r="F86" s="383" t="s">
        <v>278</v>
      </c>
      <c r="G86" s="383" t="s">
        <v>279</v>
      </c>
      <c r="H86" s="383" t="s">
        <v>280</v>
      </c>
      <c r="I86" s="383" t="s">
        <v>281</v>
      </c>
      <c r="J86" s="383" t="s">
        <v>282</v>
      </c>
      <c r="K86" s="383" t="s">
        <v>283</v>
      </c>
      <c r="L86" s="383" t="s">
        <v>284</v>
      </c>
      <c r="M86" s="383" t="s">
        <v>285</v>
      </c>
      <c r="N86" s="383" t="s">
        <v>286</v>
      </c>
      <c r="O86" s="383" t="s">
        <v>287</v>
      </c>
      <c r="P86" s="383" t="s">
        <v>288</v>
      </c>
    </row>
    <row r="87" spans="1:16" ht="18.75">
      <c r="A87" s="1010" t="s">
        <v>654</v>
      </c>
      <c r="B87" s="1010"/>
      <c r="C87" s="433">
        <f>C88+C95</f>
        <v>6211500</v>
      </c>
      <c r="D87" s="431">
        <f t="shared" ref="D87:O87" si="15">D88+D95</f>
        <v>0</v>
      </c>
      <c r="E87" s="431">
        <f t="shared" si="15"/>
        <v>0</v>
      </c>
      <c r="F87" s="431">
        <f t="shared" si="15"/>
        <v>611000</v>
      </c>
      <c r="G87" s="431">
        <f t="shared" si="15"/>
        <v>495500</v>
      </c>
      <c r="H87" s="431">
        <f t="shared" si="15"/>
        <v>1005000</v>
      </c>
      <c r="I87" s="431">
        <f t="shared" si="15"/>
        <v>1000000</v>
      </c>
      <c r="J87" s="431">
        <f t="shared" si="15"/>
        <v>550000</v>
      </c>
      <c r="K87" s="431">
        <f t="shared" si="15"/>
        <v>550000</v>
      </c>
      <c r="L87" s="431">
        <f t="shared" si="15"/>
        <v>550000</v>
      </c>
      <c r="M87" s="431">
        <f t="shared" si="15"/>
        <v>550000</v>
      </c>
      <c r="N87" s="431">
        <f t="shared" si="15"/>
        <v>450000</v>
      </c>
      <c r="O87" s="431">
        <f t="shared" si="15"/>
        <v>450000</v>
      </c>
      <c r="P87" s="430">
        <f>SUM(D87:O87)-C87</f>
        <v>0</v>
      </c>
    </row>
    <row r="88" spans="1:16" ht="18.75">
      <c r="A88" s="422">
        <v>22</v>
      </c>
      <c r="B88" s="423" t="s">
        <v>290</v>
      </c>
      <c r="C88" s="428">
        <f>SUM(D88:O88)</f>
        <v>5306500</v>
      </c>
      <c r="D88" s="431">
        <f t="shared" ref="D88:O88" si="16">SUM(D89:D94)</f>
        <v>0</v>
      </c>
      <c r="E88" s="431">
        <f t="shared" si="16"/>
        <v>0</v>
      </c>
      <c r="F88" s="431">
        <f t="shared" si="16"/>
        <v>611000</v>
      </c>
      <c r="G88" s="431">
        <f t="shared" si="16"/>
        <v>495500</v>
      </c>
      <c r="H88" s="431">
        <f t="shared" si="16"/>
        <v>550000</v>
      </c>
      <c r="I88" s="431">
        <f t="shared" si="16"/>
        <v>550000</v>
      </c>
      <c r="J88" s="431">
        <f t="shared" si="16"/>
        <v>550000</v>
      </c>
      <c r="K88" s="431">
        <f t="shared" si="16"/>
        <v>550000</v>
      </c>
      <c r="L88" s="431">
        <f t="shared" si="16"/>
        <v>550000</v>
      </c>
      <c r="M88" s="431">
        <f t="shared" si="16"/>
        <v>550000</v>
      </c>
      <c r="N88" s="431">
        <f t="shared" si="16"/>
        <v>450000</v>
      </c>
      <c r="O88" s="431">
        <f t="shared" si="16"/>
        <v>450000</v>
      </c>
      <c r="P88" s="430">
        <f>SUM(D88:O88)-C88</f>
        <v>0</v>
      </c>
    </row>
    <row r="89" spans="1:16" ht="75">
      <c r="A89" s="378">
        <v>1</v>
      </c>
      <c r="B89" s="3" t="s">
        <v>653</v>
      </c>
      <c r="C89" s="426">
        <f>SUM(D89:O89)</f>
        <v>4650000</v>
      </c>
      <c r="D89" s="6">
        <v>0</v>
      </c>
      <c r="E89" s="6">
        <v>0</v>
      </c>
      <c r="F89" s="6">
        <v>0</v>
      </c>
      <c r="G89" s="6">
        <v>450000</v>
      </c>
      <c r="H89" s="6">
        <v>550000</v>
      </c>
      <c r="I89" s="6">
        <v>550000</v>
      </c>
      <c r="J89" s="6">
        <v>550000</v>
      </c>
      <c r="K89" s="6">
        <v>550000</v>
      </c>
      <c r="L89" s="6">
        <v>550000</v>
      </c>
      <c r="M89" s="6">
        <v>550000</v>
      </c>
      <c r="N89" s="6">
        <v>450000</v>
      </c>
      <c r="O89" s="6">
        <v>450000</v>
      </c>
      <c r="P89" s="429">
        <f t="shared" ref="P89:P100" si="17">SUM(D89:O89)-C89</f>
        <v>0</v>
      </c>
    </row>
    <row r="90" spans="1:16" ht="30">
      <c r="A90" s="378">
        <v>2</v>
      </c>
      <c r="B90" s="3" t="s">
        <v>578</v>
      </c>
      <c r="C90" s="426">
        <f t="shared" ref="C90:C94" si="18">SUM(D90:O90)</f>
        <v>45500</v>
      </c>
      <c r="D90" s="6">
        <v>0</v>
      </c>
      <c r="E90" s="6">
        <v>0</v>
      </c>
      <c r="F90" s="6">
        <v>0</v>
      </c>
      <c r="G90" s="6">
        <v>45500</v>
      </c>
      <c r="H90" s="6">
        <v>0</v>
      </c>
      <c r="I90" s="6">
        <v>0</v>
      </c>
      <c r="J90" s="6">
        <v>0</v>
      </c>
      <c r="K90" s="6">
        <v>0</v>
      </c>
      <c r="L90" s="6">
        <v>0</v>
      </c>
      <c r="M90" s="6">
        <v>0</v>
      </c>
      <c r="N90" s="6">
        <v>0</v>
      </c>
      <c r="O90" s="6">
        <v>0</v>
      </c>
      <c r="P90" s="429">
        <f t="shared" si="17"/>
        <v>0</v>
      </c>
    </row>
    <row r="91" spans="1:16">
      <c r="A91" s="384">
        <v>3</v>
      </c>
      <c r="B91" s="114" t="s">
        <v>590</v>
      </c>
      <c r="C91" s="426">
        <f t="shared" si="18"/>
        <v>50000</v>
      </c>
      <c r="D91" s="354">
        <v>0</v>
      </c>
      <c r="E91" s="354">
        <v>0</v>
      </c>
      <c r="F91" s="354">
        <v>50000</v>
      </c>
      <c r="G91" s="354">
        <v>0</v>
      </c>
      <c r="H91" s="354">
        <v>0</v>
      </c>
      <c r="I91" s="354">
        <v>0</v>
      </c>
      <c r="J91" s="354">
        <v>0</v>
      </c>
      <c r="K91" s="354">
        <v>0</v>
      </c>
      <c r="L91" s="354">
        <v>0</v>
      </c>
      <c r="M91" s="354">
        <v>0</v>
      </c>
      <c r="N91" s="354">
        <v>0</v>
      </c>
      <c r="O91" s="354">
        <v>0</v>
      </c>
      <c r="P91" s="429">
        <f t="shared" si="17"/>
        <v>0</v>
      </c>
    </row>
    <row r="92" spans="1:16" ht="45">
      <c r="A92" s="378">
        <v>4</v>
      </c>
      <c r="B92" s="381" t="s">
        <v>501</v>
      </c>
      <c r="C92" s="426">
        <f t="shared" si="18"/>
        <v>170000</v>
      </c>
      <c r="D92" s="6">
        <v>0</v>
      </c>
      <c r="E92" s="6">
        <v>0</v>
      </c>
      <c r="F92" s="354">
        <v>170000</v>
      </c>
      <c r="G92" s="354">
        <v>0</v>
      </c>
      <c r="H92" s="354">
        <v>0</v>
      </c>
      <c r="I92" s="6">
        <v>0</v>
      </c>
      <c r="J92" s="6">
        <v>0</v>
      </c>
      <c r="K92" s="6">
        <v>0</v>
      </c>
      <c r="L92" s="6">
        <v>0</v>
      </c>
      <c r="M92" s="6">
        <v>0</v>
      </c>
      <c r="N92" s="6">
        <v>0</v>
      </c>
      <c r="O92" s="6">
        <v>0</v>
      </c>
      <c r="P92" s="429">
        <f t="shared" si="17"/>
        <v>0</v>
      </c>
    </row>
    <row r="93" spans="1:16" ht="30">
      <c r="A93" s="378">
        <v>5</v>
      </c>
      <c r="B93" s="381" t="s">
        <v>339</v>
      </c>
      <c r="C93" s="426">
        <f t="shared" si="18"/>
        <v>16000</v>
      </c>
      <c r="D93" s="6"/>
      <c r="E93" s="6"/>
      <c r="F93" s="432">
        <v>16000</v>
      </c>
      <c r="G93" s="354"/>
      <c r="H93" s="354"/>
      <c r="I93" s="6"/>
      <c r="J93" s="6"/>
      <c r="K93" s="6"/>
      <c r="L93" s="6"/>
      <c r="M93" s="6"/>
      <c r="N93" s="6"/>
      <c r="O93" s="6"/>
      <c r="P93" s="429">
        <f t="shared" si="17"/>
        <v>0</v>
      </c>
    </row>
    <row r="94" spans="1:16" ht="45">
      <c r="A94" s="378">
        <v>6</v>
      </c>
      <c r="B94" s="3" t="s">
        <v>331</v>
      </c>
      <c r="C94" s="426">
        <f t="shared" si="18"/>
        <v>375000</v>
      </c>
      <c r="D94" s="6">
        <v>0</v>
      </c>
      <c r="E94" s="6">
        <v>0</v>
      </c>
      <c r="F94" s="354">
        <v>375000</v>
      </c>
      <c r="G94" s="354">
        <v>0</v>
      </c>
      <c r="H94" s="354">
        <v>0</v>
      </c>
      <c r="I94" s="6">
        <v>0</v>
      </c>
      <c r="J94" s="6">
        <v>0</v>
      </c>
      <c r="K94" s="6">
        <v>0</v>
      </c>
      <c r="L94" s="6">
        <v>0</v>
      </c>
      <c r="M94" s="6">
        <v>0</v>
      </c>
      <c r="N94" s="6">
        <v>0</v>
      </c>
      <c r="O94" s="6">
        <v>0</v>
      </c>
      <c r="P94" s="429">
        <f t="shared" si="17"/>
        <v>0</v>
      </c>
    </row>
    <row r="95" spans="1:16" ht="18.75">
      <c r="A95" s="422"/>
      <c r="B95" s="423" t="s">
        <v>291</v>
      </c>
      <c r="C95" s="431">
        <f>SUM(C96:C100)</f>
        <v>905000</v>
      </c>
      <c r="D95" s="427">
        <v>0</v>
      </c>
      <c r="E95" s="427">
        <v>0</v>
      </c>
      <c r="F95" s="427">
        <v>0</v>
      </c>
      <c r="G95" s="431">
        <f>SUM(G100:G100)</f>
        <v>0</v>
      </c>
      <c r="H95" s="431">
        <f>SUM(H96:H100)</f>
        <v>455000</v>
      </c>
      <c r="I95" s="431">
        <f t="shared" ref="I95:O95" si="19">SUM(I96:I100)</f>
        <v>450000</v>
      </c>
      <c r="J95" s="431">
        <f t="shared" si="19"/>
        <v>0</v>
      </c>
      <c r="K95" s="431">
        <f t="shared" si="19"/>
        <v>0</v>
      </c>
      <c r="L95" s="431">
        <f t="shared" si="19"/>
        <v>0</v>
      </c>
      <c r="M95" s="431">
        <f t="shared" si="19"/>
        <v>0</v>
      </c>
      <c r="N95" s="431">
        <f t="shared" si="19"/>
        <v>0</v>
      </c>
      <c r="O95" s="431">
        <f t="shared" si="19"/>
        <v>0</v>
      </c>
      <c r="P95" s="430">
        <f t="shared" si="17"/>
        <v>0</v>
      </c>
    </row>
    <row r="96" spans="1:16" ht="31.5">
      <c r="A96" s="378">
        <v>1</v>
      </c>
      <c r="B96" s="382" t="s">
        <v>332</v>
      </c>
      <c r="C96" s="6">
        <f>SUM(D96:O96)</f>
        <v>40000</v>
      </c>
      <c r="D96" s="6"/>
      <c r="E96" s="6"/>
      <c r="F96" s="354"/>
      <c r="G96" s="354"/>
      <c r="H96" s="354">
        <v>40000</v>
      </c>
      <c r="I96" s="6"/>
      <c r="J96" s="6"/>
      <c r="K96" s="6"/>
      <c r="L96" s="6"/>
      <c r="M96" s="6"/>
      <c r="N96" s="6"/>
      <c r="O96" s="6"/>
      <c r="P96" s="429">
        <f t="shared" si="17"/>
        <v>0</v>
      </c>
    </row>
    <row r="97" spans="1:16" ht="31.5">
      <c r="A97" s="378">
        <v>2</v>
      </c>
      <c r="B97" s="382" t="s">
        <v>340</v>
      </c>
      <c r="C97" s="6">
        <f t="shared" ref="C97:C100" si="20">SUM(D97:O97)</f>
        <v>400000</v>
      </c>
      <c r="D97" s="6"/>
      <c r="E97" s="6"/>
      <c r="F97" s="354"/>
      <c r="G97" s="354"/>
      <c r="H97" s="354">
        <v>400000</v>
      </c>
      <c r="I97" s="6"/>
      <c r="J97" s="6"/>
      <c r="K97" s="6"/>
      <c r="L97" s="6"/>
      <c r="M97" s="6"/>
      <c r="N97" s="6"/>
      <c r="O97" s="6"/>
      <c r="P97" s="429">
        <f t="shared" si="17"/>
        <v>0</v>
      </c>
    </row>
    <row r="98" spans="1:16">
      <c r="A98" s="378">
        <v>3</v>
      </c>
      <c r="B98" s="3" t="s">
        <v>333</v>
      </c>
      <c r="C98" s="6">
        <f t="shared" si="20"/>
        <v>15000</v>
      </c>
      <c r="D98" s="6"/>
      <c r="E98" s="6"/>
      <c r="F98" s="354"/>
      <c r="G98" s="354"/>
      <c r="H98" s="354">
        <v>15000</v>
      </c>
      <c r="I98" s="6"/>
      <c r="J98" s="6"/>
      <c r="K98" s="6"/>
      <c r="L98" s="6"/>
      <c r="M98" s="434"/>
      <c r="N98" s="6"/>
      <c r="O98" s="6"/>
      <c r="P98" s="429">
        <f t="shared" si="17"/>
        <v>0</v>
      </c>
    </row>
    <row r="99" spans="1:16" ht="45">
      <c r="A99" s="384">
        <v>4</v>
      </c>
      <c r="B99" s="112" t="s">
        <v>645</v>
      </c>
      <c r="C99" s="6">
        <f t="shared" si="20"/>
        <v>450000</v>
      </c>
      <c r="D99" s="354">
        <v>0</v>
      </c>
      <c r="E99" s="354">
        <v>0</v>
      </c>
      <c r="F99" s="354">
        <v>0</v>
      </c>
      <c r="G99" s="354">
        <v>0</v>
      </c>
      <c r="H99" s="354">
        <v>0</v>
      </c>
      <c r="I99" s="354">
        <v>450000</v>
      </c>
      <c r="J99" s="354">
        <v>0</v>
      </c>
      <c r="K99" s="354">
        <v>0</v>
      </c>
      <c r="L99" s="354">
        <v>0</v>
      </c>
      <c r="M99" s="354">
        <v>0</v>
      </c>
      <c r="N99" s="354">
        <v>0</v>
      </c>
      <c r="O99" s="354">
        <v>0</v>
      </c>
      <c r="P99" s="429">
        <f t="shared" si="17"/>
        <v>0</v>
      </c>
    </row>
    <row r="100" spans="1:16" ht="27" customHeight="1">
      <c r="A100" s="356"/>
      <c r="B100" s="351"/>
      <c r="C100" s="6">
        <f t="shared" si="20"/>
        <v>0</v>
      </c>
      <c r="D100" s="205"/>
      <c r="E100" s="205"/>
      <c r="F100" s="205"/>
      <c r="G100" s="205"/>
      <c r="H100" s="999"/>
      <c r="I100" s="1000"/>
      <c r="J100" s="1000"/>
      <c r="K100" s="1000"/>
      <c r="L100" s="1000"/>
      <c r="M100" s="1000"/>
      <c r="N100" s="1000"/>
      <c r="O100" s="1001"/>
      <c r="P100" s="429">
        <f t="shared" si="17"/>
        <v>0</v>
      </c>
    </row>
    <row r="101" spans="1:16" ht="23.25" customHeight="1">
      <c r="A101" s="353"/>
      <c r="B101" s="376" t="s">
        <v>292</v>
      </c>
      <c r="C101" s="353" t="s">
        <v>618</v>
      </c>
      <c r="D101" s="365"/>
      <c r="E101" s="1011" t="s">
        <v>325</v>
      </c>
      <c r="F101" s="1011"/>
      <c r="G101" s="365" t="s">
        <v>610</v>
      </c>
      <c r="H101" s="365"/>
      <c r="I101" s="365"/>
      <c r="J101" s="365" t="s">
        <v>320</v>
      </c>
      <c r="K101" s="1012" t="s">
        <v>314</v>
      </c>
      <c r="L101" s="1012"/>
      <c r="M101" s="365"/>
      <c r="N101" s="365"/>
      <c r="O101" s="365"/>
      <c r="P101" s="353"/>
    </row>
    <row r="102" spans="1:16" ht="28.5" customHeight="1">
      <c r="A102" s="353"/>
      <c r="B102" s="376" t="s">
        <v>294</v>
      </c>
      <c r="C102" s="353"/>
      <c r="D102" s="365"/>
      <c r="E102" s="365" t="s">
        <v>294</v>
      </c>
      <c r="F102" s="365"/>
      <c r="G102" s="365"/>
      <c r="H102" s="365"/>
      <c r="I102" s="365"/>
      <c r="J102" s="365"/>
      <c r="K102" s="365" t="s">
        <v>294</v>
      </c>
      <c r="L102" s="365"/>
      <c r="M102" s="365"/>
      <c r="N102" s="365"/>
      <c r="O102" s="365"/>
      <c r="P102" s="353"/>
    </row>
    <row r="103" spans="1:16">
      <c r="A103" s="368" t="s">
        <v>625</v>
      </c>
    </row>
    <row r="104" spans="1:16">
      <c r="A104" s="1013" t="s">
        <v>631</v>
      </c>
      <c r="B104" s="1014"/>
      <c r="C104" s="1014"/>
      <c r="D104" s="1014"/>
      <c r="E104" s="1014"/>
      <c r="F104" s="1014"/>
      <c r="G104" s="1014"/>
      <c r="H104" s="1014"/>
      <c r="I104" s="1014"/>
      <c r="J104" s="1014"/>
      <c r="K104" s="1014"/>
      <c r="L104" s="1014"/>
      <c r="M104" s="1014"/>
      <c r="N104" s="1014"/>
      <c r="O104" s="1014"/>
      <c r="P104" s="1015"/>
    </row>
    <row r="105" spans="1:16">
      <c r="A105" s="88"/>
      <c r="B105" s="89"/>
      <c r="C105" s="6"/>
      <c r="D105" s="90"/>
      <c r="E105" s="90"/>
      <c r="F105" s="90"/>
      <c r="G105" s="90"/>
      <c r="H105" s="90"/>
      <c r="I105" s="90"/>
      <c r="J105" s="90"/>
      <c r="K105" s="90"/>
      <c r="L105" s="90"/>
      <c r="M105" s="90"/>
      <c r="N105" s="90"/>
      <c r="O105" s="90"/>
      <c r="P105" s="89"/>
    </row>
    <row r="106" spans="1:16">
      <c r="A106" s="88"/>
      <c r="B106" s="89" t="s">
        <v>622</v>
      </c>
      <c r="C106" s="1016">
        <v>1395</v>
      </c>
      <c r="D106" s="1017"/>
      <c r="E106" s="1017"/>
      <c r="F106" s="1018"/>
      <c r="G106" s="90"/>
      <c r="H106" s="90"/>
      <c r="I106" s="90"/>
      <c r="J106" s="90"/>
      <c r="K106" s="90"/>
      <c r="L106" s="90"/>
      <c r="M106" s="90"/>
      <c r="N106" s="90"/>
      <c r="O106" s="90"/>
      <c r="P106" s="89"/>
    </row>
    <row r="107" spans="1:16">
      <c r="A107" s="88"/>
      <c r="B107" s="89"/>
      <c r="C107" s="6" t="s">
        <v>265</v>
      </c>
      <c r="D107" s="1020" t="s">
        <v>266</v>
      </c>
      <c r="E107" s="1021"/>
      <c r="F107" s="1022"/>
      <c r="G107" s="90"/>
      <c r="H107" s="1023" t="s">
        <v>267</v>
      </c>
      <c r="I107" s="1024"/>
      <c r="J107" s="1024"/>
      <c r="K107" s="1024"/>
      <c r="L107" s="1024"/>
      <c r="M107" s="1024"/>
      <c r="N107" s="1024"/>
      <c r="O107" s="1025"/>
      <c r="P107" s="89"/>
    </row>
    <row r="108" spans="1:16">
      <c r="A108" s="88"/>
      <c r="B108" s="89" t="s">
        <v>268</v>
      </c>
      <c r="C108" s="6"/>
      <c r="D108" s="90"/>
      <c r="E108" s="90"/>
      <c r="F108" s="90"/>
      <c r="G108" s="90"/>
      <c r="H108" s="1020" t="s">
        <v>269</v>
      </c>
      <c r="I108" s="1021"/>
      <c r="J108" s="1021"/>
      <c r="K108" s="1021"/>
      <c r="L108" s="1021"/>
      <c r="M108" s="1021"/>
      <c r="N108" s="1021"/>
      <c r="O108" s="1022"/>
      <c r="P108" s="89"/>
    </row>
    <row r="109" spans="1:16">
      <c r="A109" s="88"/>
      <c r="B109" s="89" t="s">
        <v>626</v>
      </c>
      <c r="C109" s="6"/>
      <c r="D109" s="90"/>
      <c r="E109" s="90"/>
      <c r="F109" s="90"/>
      <c r="G109" s="90"/>
      <c r="H109" s="1020" t="s">
        <v>271</v>
      </c>
      <c r="I109" s="1021"/>
      <c r="J109" s="1021"/>
      <c r="K109" s="1021"/>
      <c r="L109" s="1021"/>
      <c r="M109" s="1021"/>
      <c r="N109" s="1021"/>
      <c r="O109" s="1022"/>
      <c r="P109" s="89"/>
    </row>
    <row r="110" spans="1:16">
      <c r="A110" s="356"/>
      <c r="B110" s="351"/>
      <c r="C110" s="354"/>
      <c r="D110" s="205"/>
      <c r="E110" s="205"/>
      <c r="F110" s="90"/>
      <c r="G110" s="205"/>
      <c r="H110" s="999" t="s">
        <v>272</v>
      </c>
      <c r="I110" s="1000"/>
      <c r="J110" s="1000"/>
      <c r="K110" s="1000"/>
      <c r="L110" s="1000"/>
      <c r="M110" s="1000"/>
      <c r="N110" s="1000"/>
      <c r="O110" s="1001"/>
      <c r="P110" s="351"/>
    </row>
    <row r="111" spans="1:16">
      <c r="A111" s="356"/>
      <c r="B111" s="351"/>
      <c r="C111" s="354"/>
      <c r="D111" s="205"/>
      <c r="E111" s="205"/>
      <c r="F111" s="205"/>
      <c r="G111" s="205"/>
      <c r="H111" s="999"/>
      <c r="I111" s="1000"/>
      <c r="J111" s="1000"/>
      <c r="K111" s="1000"/>
      <c r="L111" s="1000"/>
      <c r="M111" s="1000"/>
      <c r="N111" s="1000"/>
      <c r="O111" s="1001"/>
      <c r="P111" s="351"/>
    </row>
    <row r="112" spans="1:16">
      <c r="A112" s="356"/>
      <c r="B112" s="351"/>
      <c r="C112" s="354"/>
      <c r="D112" s="205"/>
      <c r="E112" s="205"/>
      <c r="F112" s="205"/>
      <c r="G112" s="205"/>
      <c r="H112" s="205"/>
      <c r="I112" s="205"/>
      <c r="J112" s="205"/>
      <c r="K112" s="205"/>
      <c r="L112" s="205"/>
      <c r="M112" s="205"/>
      <c r="N112" s="205"/>
      <c r="O112" s="205"/>
      <c r="P112" s="351"/>
    </row>
    <row r="113" spans="1:16" ht="18" customHeight="1">
      <c r="A113" s="1005" t="s">
        <v>667</v>
      </c>
      <c r="B113" s="1005"/>
      <c r="C113" s="1005"/>
      <c r="D113" s="1005"/>
      <c r="E113" s="1005"/>
      <c r="F113" s="1005"/>
      <c r="G113" s="1005"/>
      <c r="H113" s="1005"/>
      <c r="I113" s="1005"/>
      <c r="J113" s="1005"/>
      <c r="K113" s="1005"/>
      <c r="L113" s="1005"/>
      <c r="M113" s="1005"/>
      <c r="N113" s="1005"/>
      <c r="O113" s="1005"/>
      <c r="P113" s="351"/>
    </row>
    <row r="114" spans="1:16">
      <c r="A114" s="373" t="s">
        <v>265</v>
      </c>
      <c r="B114" s="355" t="s">
        <v>274</v>
      </c>
      <c r="C114" s="323" t="s">
        <v>275</v>
      </c>
      <c r="D114" s="335" t="s">
        <v>276</v>
      </c>
      <c r="E114" s="335" t="s">
        <v>277</v>
      </c>
      <c r="F114" s="335" t="s">
        <v>278</v>
      </c>
      <c r="G114" s="335" t="s">
        <v>279</v>
      </c>
      <c r="H114" s="335" t="s">
        <v>280</v>
      </c>
      <c r="I114" s="335" t="s">
        <v>281</v>
      </c>
      <c r="J114" s="335" t="s">
        <v>282</v>
      </c>
      <c r="K114" s="335" t="s">
        <v>283</v>
      </c>
      <c r="L114" s="335" t="s">
        <v>284</v>
      </c>
      <c r="M114" s="335" t="s">
        <v>285</v>
      </c>
      <c r="N114" s="335" t="s">
        <v>286</v>
      </c>
      <c r="O114" s="335" t="s">
        <v>287</v>
      </c>
      <c r="P114" s="355"/>
    </row>
    <row r="115" spans="1:16">
      <c r="A115" s="1006" t="s">
        <v>289</v>
      </c>
      <c r="B115" s="1006"/>
      <c r="C115" s="396">
        <f>(C116+C117+C118)</f>
        <v>103353596.68000001</v>
      </c>
      <c r="D115" s="396">
        <f>(D117+D118+D116)</f>
        <v>456000</v>
      </c>
      <c r="E115" s="396">
        <f>(E117+E118+E116)</f>
        <v>2901000</v>
      </c>
      <c r="F115" s="396">
        <f>(F117+F118+F116)</f>
        <v>5521466.666666667</v>
      </c>
      <c r="G115" s="396">
        <f>(G116+G117)</f>
        <v>12664113.35111111</v>
      </c>
      <c r="H115" s="396">
        <f t="shared" ref="H115:O115" si="21">(H117+H118+H116)</f>
        <v>5545679.7511111107</v>
      </c>
      <c r="I115" s="396">
        <f t="shared" si="21"/>
        <v>10620168.711111112</v>
      </c>
      <c r="J115" s="396">
        <f t="shared" si="21"/>
        <v>20130046.811111111</v>
      </c>
      <c r="K115" s="396">
        <f t="shared" si="21"/>
        <v>9742668.7111111116</v>
      </c>
      <c r="L115" s="396">
        <f t="shared" si="21"/>
        <v>6506552.0444444446</v>
      </c>
      <c r="M115" s="396">
        <f t="shared" si="21"/>
        <v>8769686.0444444437</v>
      </c>
      <c r="N115" s="396">
        <f t="shared" si="21"/>
        <v>16167229.144444443</v>
      </c>
      <c r="O115" s="396">
        <f t="shared" si="21"/>
        <v>4328985.444444444</v>
      </c>
      <c r="P115" s="397">
        <f>SUM(D115:O115)-C115</f>
        <v>0</v>
      </c>
    </row>
    <row r="116" spans="1:16">
      <c r="A116" s="356">
        <v>25</v>
      </c>
      <c r="B116" s="374" t="s">
        <v>291</v>
      </c>
      <c r="C116" s="375">
        <f>(G116+H116+I116+J116+K116+L116+M116+N116+O116)</f>
        <v>24413554.799999997</v>
      </c>
      <c r="D116" s="205">
        <f>D71+D95</f>
        <v>0</v>
      </c>
      <c r="E116" s="205">
        <f t="shared" ref="E116:O116" si="22">E71+E95</f>
        <v>0</v>
      </c>
      <c r="F116" s="205">
        <f t="shared" si="22"/>
        <v>0</v>
      </c>
      <c r="G116" s="205">
        <f>G71+G95</f>
        <v>6420466.5999999996</v>
      </c>
      <c r="H116" s="205">
        <f t="shared" si="22"/>
        <v>455000</v>
      </c>
      <c r="I116" s="205">
        <f t="shared" si="22"/>
        <v>450000</v>
      </c>
      <c r="J116" s="205">
        <f t="shared" si="22"/>
        <v>8544044.0999999996</v>
      </c>
      <c r="K116" s="205">
        <f t="shared" si="22"/>
        <v>0</v>
      </c>
      <c r="L116" s="205">
        <f t="shared" si="22"/>
        <v>0</v>
      </c>
      <c r="M116" s="205">
        <f t="shared" si="22"/>
        <v>0</v>
      </c>
      <c r="N116" s="205">
        <f t="shared" si="22"/>
        <v>8544044.0999999996</v>
      </c>
      <c r="O116" s="205">
        <f t="shared" si="22"/>
        <v>0</v>
      </c>
      <c r="P116" s="354"/>
    </row>
    <row r="117" spans="1:16" s="311" customFormat="1">
      <c r="A117" s="356">
        <v>22</v>
      </c>
      <c r="B117" s="112" t="s">
        <v>669</v>
      </c>
      <c r="C117" s="421">
        <f>(D117+E117+F117+G117+H117+I117+J117+K117+L117+M117+N117+O117)</f>
        <v>77940040.88000001</v>
      </c>
      <c r="D117" s="205">
        <f>D12+D39+D66+D88</f>
        <v>456000</v>
      </c>
      <c r="E117" s="205">
        <f t="shared" ref="E117:O117" si="23">E12+E39+E66+E88</f>
        <v>2901000</v>
      </c>
      <c r="F117" s="205">
        <f t="shared" si="23"/>
        <v>5521466.666666667</v>
      </c>
      <c r="G117" s="205">
        <f t="shared" si="23"/>
        <v>6243646.7511111116</v>
      </c>
      <c r="H117" s="205">
        <f t="shared" si="23"/>
        <v>4757346.7511111107</v>
      </c>
      <c r="I117" s="205">
        <f t="shared" si="23"/>
        <v>10170168.711111112</v>
      </c>
      <c r="J117" s="205">
        <f t="shared" si="23"/>
        <v>11252668.711111112</v>
      </c>
      <c r="K117" s="205">
        <f t="shared" si="23"/>
        <v>9742668.7111111116</v>
      </c>
      <c r="L117" s="205">
        <f t="shared" si="23"/>
        <v>6506552.0444444446</v>
      </c>
      <c r="M117" s="205">
        <f t="shared" si="23"/>
        <v>8436352.0444444437</v>
      </c>
      <c r="N117" s="205">
        <f t="shared" si="23"/>
        <v>7623185.0444444437</v>
      </c>
      <c r="O117" s="205">
        <f t="shared" si="23"/>
        <v>4328985.444444444</v>
      </c>
      <c r="P117" s="354"/>
    </row>
    <row r="118" spans="1:16">
      <c r="A118" s="356">
        <v>22</v>
      </c>
      <c r="B118" s="112" t="s">
        <v>656</v>
      </c>
      <c r="C118" s="354">
        <f>SUM(D118:N118)</f>
        <v>1000001</v>
      </c>
      <c r="D118" s="205"/>
      <c r="E118" s="205"/>
      <c r="F118" s="205"/>
      <c r="G118" s="205"/>
      <c r="H118" s="205">
        <v>333333</v>
      </c>
      <c r="I118" s="205"/>
      <c r="J118" s="205">
        <v>333334</v>
      </c>
      <c r="K118" s="205"/>
      <c r="L118" s="205"/>
      <c r="M118" s="205">
        <v>333334</v>
      </c>
      <c r="N118" s="205"/>
      <c r="O118" s="205"/>
      <c r="P118" s="354"/>
    </row>
    <row r="119" spans="1:16">
      <c r="A119" s="332" t="s">
        <v>598</v>
      </c>
      <c r="B119" s="332" t="s">
        <v>599</v>
      </c>
      <c r="C119" s="314" t="s">
        <v>293</v>
      </c>
      <c r="D119" s="314"/>
      <c r="E119" s="331" t="s">
        <v>600</v>
      </c>
      <c r="F119" s="331"/>
      <c r="G119" s="371"/>
      <c r="H119" s="315" t="s">
        <v>313</v>
      </c>
      <c r="I119" s="315"/>
      <c r="J119" s="315" t="s">
        <v>601</v>
      </c>
      <c r="K119" s="333"/>
      <c r="L119" s="316"/>
      <c r="M119" s="317"/>
      <c r="N119" s="333"/>
      <c r="O119" s="333"/>
      <c r="P119" s="370"/>
    </row>
    <row r="120" spans="1:16" ht="24.75" customHeight="1">
      <c r="A120" s="332"/>
      <c r="B120" s="332" t="s">
        <v>602</v>
      </c>
      <c r="C120" s="318" t="s">
        <v>603</v>
      </c>
      <c r="D120" s="318"/>
      <c r="E120" s="319" t="s">
        <v>604</v>
      </c>
      <c r="F120" s="319"/>
      <c r="G120" s="315"/>
      <c r="H120" s="334" t="s">
        <v>605</v>
      </c>
      <c r="I120" s="334"/>
      <c r="J120" s="334" t="s">
        <v>606</v>
      </c>
      <c r="K120" s="319"/>
      <c r="L120" s="317"/>
      <c r="O120" s="331"/>
    </row>
    <row r="121" spans="1:16" ht="41.25" customHeight="1">
      <c r="A121" s="332"/>
      <c r="B121" s="332" t="s">
        <v>122</v>
      </c>
      <c r="C121" s="395"/>
      <c r="D121" s="314"/>
      <c r="E121" s="331" t="s">
        <v>607</v>
      </c>
      <c r="F121" s="331"/>
      <c r="G121" s="320"/>
      <c r="H121" s="331" t="s">
        <v>607</v>
      </c>
      <c r="I121" s="331"/>
      <c r="J121" s="331" t="s">
        <v>607</v>
      </c>
      <c r="K121" s="372"/>
      <c r="N121" s="1019" t="s">
        <v>608</v>
      </c>
      <c r="O121" s="1019"/>
      <c r="P121" s="1019"/>
    </row>
    <row r="122" spans="1:16" ht="30.75" customHeight="1">
      <c r="A122" s="332"/>
      <c r="B122" s="332" t="s">
        <v>503</v>
      </c>
      <c r="C122" s="331" t="s">
        <v>239</v>
      </c>
      <c r="D122" s="331"/>
      <c r="E122" s="315" t="s">
        <v>609</v>
      </c>
      <c r="F122" s="315"/>
      <c r="G122" s="1026" t="s">
        <v>610</v>
      </c>
      <c r="H122" s="1026"/>
      <c r="I122" s="333"/>
      <c r="J122" s="333" t="s">
        <v>314</v>
      </c>
      <c r="K122" s="321"/>
      <c r="N122" s="1027" t="s">
        <v>611</v>
      </c>
      <c r="O122" s="1027"/>
      <c r="P122" s="1027"/>
    </row>
    <row r="123" spans="1:16">
      <c r="A123" s="332"/>
      <c r="B123" s="332" t="s">
        <v>602</v>
      </c>
      <c r="C123" s="331" t="s">
        <v>240</v>
      </c>
      <c r="D123" s="331"/>
      <c r="E123" s="992" t="s">
        <v>242</v>
      </c>
      <c r="F123" s="992"/>
      <c r="G123" s="1028" t="s">
        <v>612</v>
      </c>
      <c r="H123" s="1028"/>
      <c r="I123" s="331"/>
      <c r="J123" s="331" t="s">
        <v>315</v>
      </c>
      <c r="K123" s="317"/>
      <c r="N123" s="1028" t="s">
        <v>323</v>
      </c>
      <c r="O123" s="1028"/>
      <c r="P123" s="1028"/>
    </row>
    <row r="124" spans="1:16" ht="38.25" customHeight="1">
      <c r="A124" s="332"/>
      <c r="B124" s="332" t="s">
        <v>122</v>
      </c>
      <c r="C124" s="314" t="s">
        <v>607</v>
      </c>
      <c r="D124" s="314"/>
      <c r="E124" s="331" t="s">
        <v>607</v>
      </c>
      <c r="F124" s="331"/>
      <c r="G124" s="320"/>
      <c r="H124" s="331" t="s">
        <v>607</v>
      </c>
      <c r="I124" s="331"/>
      <c r="J124" s="331" t="s">
        <v>607</v>
      </c>
      <c r="K124" s="330"/>
      <c r="N124" s="330"/>
      <c r="O124" s="331" t="s">
        <v>607</v>
      </c>
      <c r="P124" s="331"/>
    </row>
    <row r="126" spans="1:16" ht="41.25" customHeight="1"/>
    <row r="127" spans="1:16" ht="18.75">
      <c r="C127" s="1029" t="s">
        <v>613</v>
      </c>
      <c r="D127" s="1029"/>
      <c r="E127" s="1029"/>
      <c r="H127" s="1029" t="s">
        <v>613</v>
      </c>
      <c r="I127" s="1029"/>
      <c r="J127" s="1029"/>
      <c r="M127" s="1019" t="s">
        <v>614</v>
      </c>
      <c r="N127" s="1019"/>
      <c r="O127" s="1019"/>
    </row>
    <row r="128" spans="1:16">
      <c r="C128" s="1030" t="s">
        <v>314</v>
      </c>
      <c r="D128" s="1030"/>
      <c r="E128" s="1030"/>
      <c r="H128" s="1030" t="s">
        <v>630</v>
      </c>
      <c r="I128" s="1030"/>
      <c r="J128" s="1030"/>
      <c r="M128" s="1031" t="s">
        <v>615</v>
      </c>
      <c r="N128" s="1031"/>
      <c r="O128" s="1031"/>
    </row>
    <row r="129" spans="3:15">
      <c r="C129" s="1032" t="s">
        <v>315</v>
      </c>
      <c r="D129" s="1032"/>
      <c r="E129" s="1032"/>
      <c r="H129" s="1032" t="s">
        <v>616</v>
      </c>
      <c r="I129" s="1032"/>
      <c r="J129" s="1032"/>
      <c r="M129" s="1030" t="s">
        <v>617</v>
      </c>
      <c r="N129" s="1030"/>
      <c r="O129" s="1030"/>
    </row>
    <row r="130" spans="3:15" ht="30" customHeight="1">
      <c r="C130" s="92"/>
      <c r="D130" s="331" t="s">
        <v>607</v>
      </c>
      <c r="I130" s="331" t="s">
        <v>607</v>
      </c>
      <c r="M130" s="1028" t="s">
        <v>607</v>
      </c>
      <c r="N130" s="1028"/>
      <c r="O130" s="1028"/>
    </row>
  </sheetData>
  <mergeCells count="84">
    <mergeCell ref="H31:O31"/>
    <mergeCell ref="A1:O1"/>
    <mergeCell ref="A2:P2"/>
    <mergeCell ref="D5:F5"/>
    <mergeCell ref="H5:O5"/>
    <mergeCell ref="H6:O6"/>
    <mergeCell ref="H7:O7"/>
    <mergeCell ref="H8:O8"/>
    <mergeCell ref="H9:O9"/>
    <mergeCell ref="A10:O10"/>
    <mergeCell ref="A12:B12"/>
    <mergeCell ref="K26:L26"/>
    <mergeCell ref="E53:F53"/>
    <mergeCell ref="K53:L53"/>
    <mergeCell ref="A36:P36"/>
    <mergeCell ref="A38:B38"/>
    <mergeCell ref="E26:F26"/>
    <mergeCell ref="D32:F32"/>
    <mergeCell ref="H32:O32"/>
    <mergeCell ref="D33:F33"/>
    <mergeCell ref="H33:O33"/>
    <mergeCell ref="D34:F34"/>
    <mergeCell ref="H34:O34"/>
    <mergeCell ref="A28:P28"/>
    <mergeCell ref="C29:F29"/>
    <mergeCell ref="D30:F30"/>
    <mergeCell ref="H30:O30"/>
    <mergeCell ref="D31:F31"/>
    <mergeCell ref="A55:P55"/>
    <mergeCell ref="A63:P63"/>
    <mergeCell ref="A65:B65"/>
    <mergeCell ref="A66:B66"/>
    <mergeCell ref="A71:B71"/>
    <mergeCell ref="C56:F56"/>
    <mergeCell ref="D57:F57"/>
    <mergeCell ref="H57:O57"/>
    <mergeCell ref="D58:F58"/>
    <mergeCell ref="H58:O58"/>
    <mergeCell ref="D59:F59"/>
    <mergeCell ref="H59:O59"/>
    <mergeCell ref="D60:F60"/>
    <mergeCell ref="H60:O60"/>
    <mergeCell ref="D61:F61"/>
    <mergeCell ref="H61:O61"/>
    <mergeCell ref="M130:O130"/>
    <mergeCell ref="C127:E127"/>
    <mergeCell ref="H127:J127"/>
    <mergeCell ref="M127:O127"/>
    <mergeCell ref="C128:E128"/>
    <mergeCell ref="H128:J128"/>
    <mergeCell ref="M128:O128"/>
    <mergeCell ref="C129:E129"/>
    <mergeCell ref="H129:J129"/>
    <mergeCell ref="M129:O129"/>
    <mergeCell ref="G122:H122"/>
    <mergeCell ref="N122:P122"/>
    <mergeCell ref="E123:F123"/>
    <mergeCell ref="G123:H123"/>
    <mergeCell ref="N123:P123"/>
    <mergeCell ref="N121:P121"/>
    <mergeCell ref="D107:F107"/>
    <mergeCell ref="H107:O107"/>
    <mergeCell ref="H108:O108"/>
    <mergeCell ref="H109:O109"/>
    <mergeCell ref="H110:O110"/>
    <mergeCell ref="H111:O111"/>
    <mergeCell ref="H82:O82"/>
    <mergeCell ref="H83:O83"/>
    <mergeCell ref="H84:O84"/>
    <mergeCell ref="A113:O113"/>
    <mergeCell ref="A115:B115"/>
    <mergeCell ref="A85:O85"/>
    <mergeCell ref="A87:B87"/>
    <mergeCell ref="E101:F101"/>
    <mergeCell ref="K101:L101"/>
    <mergeCell ref="A104:P104"/>
    <mergeCell ref="C106:F106"/>
    <mergeCell ref="H100:O100"/>
    <mergeCell ref="E77:F77"/>
    <mergeCell ref="K77:L77"/>
    <mergeCell ref="A79:P79"/>
    <mergeCell ref="C80:F80"/>
    <mergeCell ref="D81:F81"/>
    <mergeCell ref="H81:O81"/>
  </mergeCells>
  <printOptions horizontalCentered="1"/>
  <pageMargins left="0.23622047244094491" right="0.27559055118110237" top="0.74803149606299213" bottom="0.39370078740157483" header="0.31496062992125984" footer="0.31496062992125984"/>
  <pageSetup paperSize="9" scale="50" orientation="landscape" r:id="rId1"/>
  <rowBreaks count="4" manualBreakCount="4">
    <brk id="27" max="15" man="1"/>
    <brk id="54" max="15" man="1"/>
    <brk id="78" max="15" man="1"/>
    <brk id="103" max="15" man="1"/>
  </rowBreaks>
  <colBreaks count="1" manualBreakCount="1">
    <brk id="16" max="12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8"/>
  <sheetViews>
    <sheetView rightToLeft="1" view="pageBreakPreview" topLeftCell="A576" zoomScale="70" zoomScaleNormal="30" zoomScaleSheetLayoutView="70" zoomScalePageLayoutView="70" workbookViewId="0">
      <selection activeCell="D563" sqref="D563:F563"/>
    </sheetView>
  </sheetViews>
  <sheetFormatPr defaultRowHeight="15.75"/>
  <cols>
    <col min="1" max="1" width="23.85546875" style="65" customWidth="1"/>
    <col min="2" max="3" width="24" style="65" customWidth="1"/>
    <col min="4" max="4" width="41.7109375" style="87" customWidth="1"/>
    <col min="5" max="5" width="11.5703125" style="533" customWidth="1"/>
    <col min="6" max="6" width="11.85546875" style="533" customWidth="1"/>
    <col min="7" max="7" width="14.5703125" style="533" customWidth="1"/>
    <col min="8" max="8" width="18.85546875" style="533" hidden="1" customWidth="1"/>
    <col min="9" max="9" width="20.42578125" style="103" customWidth="1"/>
    <col min="10" max="10" width="13.140625" style="533" customWidth="1"/>
    <col min="11" max="11" width="16" style="532" customWidth="1"/>
    <col min="12" max="13" width="15.140625" style="533" customWidth="1"/>
    <col min="14" max="14" width="13.28515625" style="103" customWidth="1"/>
    <col min="15" max="15" width="15.140625" style="533" customWidth="1"/>
    <col min="16" max="16" width="10.85546875" customWidth="1"/>
    <col min="17" max="17" width="2.85546875" customWidth="1"/>
  </cols>
  <sheetData>
    <row r="1" spans="1:15" ht="22.5">
      <c r="A1" s="1112" t="s">
        <v>856</v>
      </c>
      <c r="B1" s="1113"/>
      <c r="C1" s="1113"/>
      <c r="D1" s="1113"/>
      <c r="E1" s="1113"/>
      <c r="F1" s="1113"/>
      <c r="G1" s="1113"/>
      <c r="H1" s="1113"/>
      <c r="I1" s="1113"/>
      <c r="J1" s="1113"/>
      <c r="K1" s="1113"/>
      <c r="L1" s="1113"/>
      <c r="M1" s="1113"/>
      <c r="N1" s="1113"/>
      <c r="O1" s="1114"/>
    </row>
    <row r="2" spans="1:15" s="627" customFormat="1" ht="48" customHeight="1">
      <c r="A2" s="1085" t="s">
        <v>12</v>
      </c>
      <c r="B2" s="1086"/>
      <c r="C2" s="1086"/>
      <c r="D2" s="1086"/>
      <c r="E2" s="1086"/>
      <c r="F2" s="1086"/>
      <c r="G2" s="1086"/>
      <c r="H2" s="1086"/>
      <c r="I2" s="1086"/>
      <c r="J2" s="1086"/>
      <c r="K2" s="1086"/>
      <c r="L2" s="1086"/>
      <c r="M2" s="1086"/>
      <c r="N2" s="1086"/>
      <c r="O2" s="1086"/>
    </row>
    <row r="3" spans="1:15" ht="38.25" customHeight="1">
      <c r="A3" s="1056" t="s">
        <v>13</v>
      </c>
      <c r="B3" s="1056" t="s">
        <v>14</v>
      </c>
      <c r="C3" s="1068" t="s">
        <v>15</v>
      </c>
      <c r="D3" s="1066" t="s">
        <v>16</v>
      </c>
      <c r="E3" s="1064" t="s">
        <v>17</v>
      </c>
      <c r="F3" s="1058" t="s">
        <v>18</v>
      </c>
      <c r="G3" s="1058" t="s">
        <v>330</v>
      </c>
      <c r="H3" s="562"/>
      <c r="I3" s="1062" t="s">
        <v>763</v>
      </c>
      <c r="J3" s="1115" t="s">
        <v>857</v>
      </c>
      <c r="K3" s="1116"/>
      <c r="L3" s="1117" t="s">
        <v>21</v>
      </c>
      <c r="M3" s="1058" t="s">
        <v>22</v>
      </c>
      <c r="N3" s="1060" t="s">
        <v>1058</v>
      </c>
      <c r="O3" s="1058" t="s">
        <v>1059</v>
      </c>
    </row>
    <row r="4" spans="1:15" ht="28.5" customHeight="1">
      <c r="A4" s="1057"/>
      <c r="B4" s="1057"/>
      <c r="C4" s="1069"/>
      <c r="D4" s="1067"/>
      <c r="E4" s="1065"/>
      <c r="F4" s="1059"/>
      <c r="G4" s="1059"/>
      <c r="H4" s="563" t="s">
        <v>575</v>
      </c>
      <c r="I4" s="1063"/>
      <c r="J4" s="563" t="s">
        <v>19</v>
      </c>
      <c r="K4" s="563" t="s">
        <v>3</v>
      </c>
      <c r="L4" s="1118"/>
      <c r="M4" s="1059"/>
      <c r="N4" s="1061"/>
      <c r="O4" s="1059"/>
    </row>
    <row r="5" spans="1:15" ht="49.5" customHeight="1">
      <c r="A5" s="1079" t="s">
        <v>263</v>
      </c>
      <c r="B5" s="1082" t="s">
        <v>829</v>
      </c>
      <c r="C5" s="1082"/>
      <c r="D5" s="786" t="s">
        <v>764</v>
      </c>
      <c r="E5" s="458" t="s">
        <v>765</v>
      </c>
      <c r="F5" s="564">
        <v>8</v>
      </c>
      <c r="G5" s="564">
        <v>100000</v>
      </c>
      <c r="H5" s="565" t="s">
        <v>766</v>
      </c>
      <c r="I5" s="566">
        <f>F5*G5</f>
        <v>800000</v>
      </c>
      <c r="J5" s="683" t="s">
        <v>767</v>
      </c>
      <c r="K5" s="567" t="s">
        <v>768</v>
      </c>
      <c r="L5" s="1119" t="s">
        <v>116</v>
      </c>
      <c r="M5" s="567" t="s">
        <v>769</v>
      </c>
      <c r="N5" s="571">
        <v>2880</v>
      </c>
      <c r="O5" s="571">
        <f>N5*7</f>
        <v>20160</v>
      </c>
    </row>
    <row r="6" spans="1:15" ht="46.5" customHeight="1">
      <c r="A6" s="1080"/>
      <c r="B6" s="1083"/>
      <c r="C6" s="1083"/>
      <c r="D6" s="786" t="s">
        <v>770</v>
      </c>
      <c r="E6" s="458" t="s">
        <v>771</v>
      </c>
      <c r="F6" s="564">
        <v>80</v>
      </c>
      <c r="G6" s="564">
        <v>800</v>
      </c>
      <c r="H6" s="565" t="s">
        <v>766</v>
      </c>
      <c r="I6" s="568">
        <f>F6*G6</f>
        <v>64000</v>
      </c>
      <c r="J6" s="683" t="s">
        <v>767</v>
      </c>
      <c r="K6" s="567" t="s">
        <v>768</v>
      </c>
      <c r="L6" s="1119"/>
      <c r="M6" s="567" t="s">
        <v>769</v>
      </c>
      <c r="N6" s="571">
        <v>2881</v>
      </c>
      <c r="O6" s="571">
        <f t="shared" ref="O6:O67" si="0">N6*7</f>
        <v>20167</v>
      </c>
    </row>
    <row r="7" spans="1:15" ht="96" customHeight="1">
      <c r="A7" s="1081"/>
      <c r="B7" s="1084"/>
      <c r="C7" s="1084"/>
      <c r="D7" s="787" t="s">
        <v>895</v>
      </c>
      <c r="E7" s="458" t="s">
        <v>772</v>
      </c>
      <c r="F7" s="564">
        <v>0</v>
      </c>
      <c r="G7" s="564">
        <v>0</v>
      </c>
      <c r="H7" s="565" t="s">
        <v>766</v>
      </c>
      <c r="I7" s="568">
        <v>40000</v>
      </c>
      <c r="J7" s="683" t="s">
        <v>767</v>
      </c>
      <c r="K7" s="567" t="s">
        <v>768</v>
      </c>
      <c r="L7" s="1119"/>
      <c r="M7" s="567" t="s">
        <v>769</v>
      </c>
      <c r="N7" s="571">
        <v>2882</v>
      </c>
      <c r="O7" s="571">
        <f t="shared" si="0"/>
        <v>20174</v>
      </c>
    </row>
    <row r="8" spans="1:15" ht="42" customHeight="1">
      <c r="A8" s="758" t="s">
        <v>773</v>
      </c>
      <c r="B8" s="759"/>
      <c r="C8" s="759"/>
      <c r="D8" s="788"/>
      <c r="E8" s="721"/>
      <c r="F8" s="722"/>
      <c r="G8" s="722"/>
      <c r="H8" s="723"/>
      <c r="I8" s="724">
        <f>SUM(I5:I7)</f>
        <v>904000</v>
      </c>
      <c r="J8" s="725"/>
      <c r="K8" s="728"/>
      <c r="L8" s="726"/>
      <c r="M8" s="723"/>
      <c r="N8" s="727">
        <f>SUM(N5:N7)</f>
        <v>8643</v>
      </c>
      <c r="O8" s="728">
        <f>SUM(O5:O7)</f>
        <v>60501</v>
      </c>
    </row>
    <row r="9" spans="1:15" ht="57.75" customHeight="1">
      <c r="A9" s="760" t="s">
        <v>13</v>
      </c>
      <c r="B9" s="760" t="s">
        <v>14</v>
      </c>
      <c r="C9" s="761" t="s">
        <v>15</v>
      </c>
      <c r="D9" s="789" t="s">
        <v>16</v>
      </c>
      <c r="E9" s="459" t="s">
        <v>17</v>
      </c>
      <c r="F9" s="569" t="s">
        <v>18</v>
      </c>
      <c r="G9" s="569" t="s">
        <v>330</v>
      </c>
      <c r="H9" s="563" t="s">
        <v>575</v>
      </c>
      <c r="I9" s="570" t="s">
        <v>774</v>
      </c>
      <c r="J9" s="684" t="s">
        <v>19</v>
      </c>
      <c r="K9" s="563" t="s">
        <v>3</v>
      </c>
      <c r="L9" s="569" t="s">
        <v>21</v>
      </c>
      <c r="M9" s="569" t="s">
        <v>22</v>
      </c>
      <c r="N9" s="700" t="s">
        <v>1058</v>
      </c>
      <c r="O9" s="569" t="s">
        <v>1059</v>
      </c>
    </row>
    <row r="10" spans="1:15" ht="54.75" customHeight="1">
      <c r="A10" s="1082" t="s">
        <v>775</v>
      </c>
      <c r="B10" s="1082" t="s">
        <v>886</v>
      </c>
      <c r="C10" s="1082" t="s">
        <v>887</v>
      </c>
      <c r="D10" s="786" t="s">
        <v>776</v>
      </c>
      <c r="E10" s="460" t="s">
        <v>765</v>
      </c>
      <c r="F10" s="564">
        <v>10</v>
      </c>
      <c r="G10" s="564">
        <v>100000</v>
      </c>
      <c r="H10" s="565" t="s">
        <v>766</v>
      </c>
      <c r="I10" s="568">
        <f>F10*G10</f>
        <v>1000000</v>
      </c>
      <c r="J10" s="683" t="s">
        <v>767</v>
      </c>
      <c r="K10" s="567" t="s">
        <v>768</v>
      </c>
      <c r="L10" s="564" t="s">
        <v>116</v>
      </c>
      <c r="M10" s="565" t="s">
        <v>769</v>
      </c>
      <c r="N10" s="571">
        <v>3600</v>
      </c>
      <c r="O10" s="571">
        <f t="shared" si="0"/>
        <v>25200</v>
      </c>
    </row>
    <row r="11" spans="1:15" ht="42" customHeight="1">
      <c r="A11" s="1083"/>
      <c r="B11" s="1083"/>
      <c r="C11" s="1083"/>
      <c r="D11" s="786" t="s">
        <v>770</v>
      </c>
      <c r="E11" s="526" t="s">
        <v>777</v>
      </c>
      <c r="F11" s="564">
        <v>100</v>
      </c>
      <c r="G11" s="581">
        <v>800</v>
      </c>
      <c r="H11" s="565" t="s">
        <v>766</v>
      </c>
      <c r="I11" s="568">
        <f>F11*G11</f>
        <v>80000</v>
      </c>
      <c r="J11" s="685" t="s">
        <v>767</v>
      </c>
      <c r="K11" s="567" t="s">
        <v>768</v>
      </c>
      <c r="L11" s="564"/>
      <c r="M11" s="565" t="s">
        <v>769</v>
      </c>
      <c r="N11" s="571">
        <v>0</v>
      </c>
      <c r="O11" s="571">
        <f t="shared" si="0"/>
        <v>0</v>
      </c>
    </row>
    <row r="12" spans="1:15" ht="95.25" customHeight="1">
      <c r="A12" s="1084"/>
      <c r="B12" s="1084"/>
      <c r="C12" s="1084"/>
      <c r="D12" s="787" t="s">
        <v>895</v>
      </c>
      <c r="E12" s="460" t="s">
        <v>772</v>
      </c>
      <c r="F12" s="564"/>
      <c r="G12" s="564">
        <v>0</v>
      </c>
      <c r="H12" s="565"/>
      <c r="I12" s="568">
        <v>40000</v>
      </c>
      <c r="J12" s="683" t="s">
        <v>767</v>
      </c>
      <c r="K12" s="567" t="s">
        <v>768</v>
      </c>
      <c r="L12" s="564"/>
      <c r="M12" s="565" t="s">
        <v>778</v>
      </c>
      <c r="N12" s="571"/>
      <c r="O12" s="571">
        <f t="shared" si="0"/>
        <v>0</v>
      </c>
    </row>
    <row r="13" spans="1:15" s="533" customFormat="1" ht="37.5" customHeight="1">
      <c r="A13" s="758" t="s">
        <v>773</v>
      </c>
      <c r="B13" s="759"/>
      <c r="C13" s="759"/>
      <c r="D13" s="788"/>
      <c r="E13" s="721"/>
      <c r="F13" s="722"/>
      <c r="G13" s="722"/>
      <c r="H13" s="723"/>
      <c r="I13" s="724">
        <f>SUM(I10:I12)</f>
        <v>1120000</v>
      </c>
      <c r="J13" s="725"/>
      <c r="K13" s="728"/>
      <c r="L13" s="726"/>
      <c r="M13" s="723"/>
      <c r="N13" s="727">
        <f>SUM(N10:N12)</f>
        <v>3600</v>
      </c>
      <c r="O13" s="728">
        <f>SUM(O10:O12)</f>
        <v>25200</v>
      </c>
    </row>
    <row r="14" spans="1:15" ht="56.25">
      <c r="A14" s="760" t="s">
        <v>13</v>
      </c>
      <c r="B14" s="760" t="s">
        <v>14</v>
      </c>
      <c r="C14" s="761" t="s">
        <v>15</v>
      </c>
      <c r="D14" s="789" t="s">
        <v>16</v>
      </c>
      <c r="E14" s="459" t="s">
        <v>17</v>
      </c>
      <c r="F14" s="569" t="s">
        <v>18</v>
      </c>
      <c r="G14" s="569" t="s">
        <v>330</v>
      </c>
      <c r="H14" s="563" t="s">
        <v>575</v>
      </c>
      <c r="I14" s="570" t="s">
        <v>774</v>
      </c>
      <c r="J14" s="684" t="s">
        <v>19</v>
      </c>
      <c r="K14" s="563"/>
      <c r="L14" s="569" t="s">
        <v>21</v>
      </c>
      <c r="M14" s="569" t="s">
        <v>22</v>
      </c>
      <c r="N14" s="700" t="s">
        <v>1058</v>
      </c>
      <c r="O14" s="569" t="s">
        <v>1059</v>
      </c>
    </row>
    <row r="15" spans="1:15" ht="58.5" customHeight="1">
      <c r="A15" s="1070" t="s">
        <v>779</v>
      </c>
      <c r="B15" s="1070" t="s">
        <v>891</v>
      </c>
      <c r="C15" s="1070" t="s">
        <v>879</v>
      </c>
      <c r="D15" s="786" t="s">
        <v>780</v>
      </c>
      <c r="E15" s="460" t="s">
        <v>765</v>
      </c>
      <c r="F15" s="564">
        <v>4</v>
      </c>
      <c r="G15" s="564">
        <v>100000</v>
      </c>
      <c r="H15" s="567" t="s">
        <v>766</v>
      </c>
      <c r="I15" s="571">
        <f>F15*100000</f>
        <v>400000</v>
      </c>
      <c r="J15" s="683" t="s">
        <v>767</v>
      </c>
      <c r="K15" s="567" t="s">
        <v>768</v>
      </c>
      <c r="L15" s="564" t="s">
        <v>116</v>
      </c>
      <c r="M15" s="567" t="s">
        <v>769</v>
      </c>
      <c r="N15" s="571">
        <v>1440</v>
      </c>
      <c r="O15" s="571">
        <f t="shared" si="0"/>
        <v>10080</v>
      </c>
    </row>
    <row r="16" spans="1:15" ht="66" customHeight="1">
      <c r="A16" s="1071"/>
      <c r="B16" s="1071"/>
      <c r="C16" s="1071"/>
      <c r="D16" s="786" t="s">
        <v>770</v>
      </c>
      <c r="E16" s="526" t="s">
        <v>27</v>
      </c>
      <c r="F16" s="564">
        <v>40</v>
      </c>
      <c r="G16" s="581">
        <v>800</v>
      </c>
      <c r="H16" s="567" t="s">
        <v>766</v>
      </c>
      <c r="I16" s="571">
        <f>F16*G16</f>
        <v>32000</v>
      </c>
      <c r="J16" s="685" t="s">
        <v>767</v>
      </c>
      <c r="K16" s="567" t="s">
        <v>768</v>
      </c>
      <c r="L16" s="564"/>
      <c r="M16" s="567" t="s">
        <v>769</v>
      </c>
      <c r="N16" s="571">
        <v>0</v>
      </c>
      <c r="O16" s="571">
        <f t="shared" si="0"/>
        <v>0</v>
      </c>
    </row>
    <row r="17" spans="1:15" ht="108" customHeight="1">
      <c r="A17" s="1071"/>
      <c r="B17" s="1071"/>
      <c r="C17" s="1071"/>
      <c r="D17" s="786" t="s">
        <v>892</v>
      </c>
      <c r="E17" s="527" t="s">
        <v>781</v>
      </c>
      <c r="F17" s="564">
        <v>200</v>
      </c>
      <c r="G17" s="572">
        <v>700</v>
      </c>
      <c r="H17" s="567" t="s">
        <v>766</v>
      </c>
      <c r="I17" s="571">
        <v>160000</v>
      </c>
      <c r="J17" s="683" t="s">
        <v>767</v>
      </c>
      <c r="K17" s="567" t="s">
        <v>768</v>
      </c>
      <c r="L17" s="564"/>
      <c r="M17" s="567" t="s">
        <v>769</v>
      </c>
      <c r="N17" s="571">
        <v>200</v>
      </c>
      <c r="O17" s="571">
        <f t="shared" si="0"/>
        <v>1400</v>
      </c>
    </row>
    <row r="18" spans="1:15" ht="113.25" customHeight="1">
      <c r="A18" s="1072"/>
      <c r="B18" s="1072"/>
      <c r="C18" s="1072"/>
      <c r="D18" s="787" t="s">
        <v>895</v>
      </c>
      <c r="E18" s="460"/>
      <c r="F18" s="564">
        <v>0</v>
      </c>
      <c r="G18" s="564"/>
      <c r="H18" s="567" t="s">
        <v>782</v>
      </c>
      <c r="I18" s="571">
        <v>40000</v>
      </c>
      <c r="J18" s="683" t="s">
        <v>767</v>
      </c>
      <c r="K18" s="567" t="s">
        <v>768</v>
      </c>
      <c r="L18" s="564"/>
      <c r="M18" s="567" t="s">
        <v>769</v>
      </c>
      <c r="N18" s="571"/>
      <c r="O18" s="571">
        <f t="shared" si="0"/>
        <v>0</v>
      </c>
    </row>
    <row r="19" spans="1:15" s="533" customFormat="1" ht="47.25" customHeight="1">
      <c r="A19" s="758" t="s">
        <v>773</v>
      </c>
      <c r="B19" s="759"/>
      <c r="C19" s="759"/>
      <c r="D19" s="788"/>
      <c r="E19" s="721"/>
      <c r="F19" s="722"/>
      <c r="G19" s="722"/>
      <c r="H19" s="723"/>
      <c r="I19" s="724">
        <f>SUM(I15:I18)</f>
        <v>632000</v>
      </c>
      <c r="J19" s="725"/>
      <c r="K19" s="728"/>
      <c r="L19" s="726"/>
      <c r="M19" s="723"/>
      <c r="N19" s="727">
        <f>SUM(N15:N18)</f>
        <v>1640</v>
      </c>
      <c r="O19" s="728">
        <f>SUM(O15:O18)</f>
        <v>11480</v>
      </c>
    </row>
    <row r="20" spans="1:15" ht="61.5" customHeight="1">
      <c r="A20" s="760" t="s">
        <v>13</v>
      </c>
      <c r="B20" s="760" t="s">
        <v>14</v>
      </c>
      <c r="C20" s="761" t="s">
        <v>15</v>
      </c>
      <c r="D20" s="790" t="s">
        <v>16</v>
      </c>
      <c r="E20" s="529" t="s">
        <v>17</v>
      </c>
      <c r="F20" s="569" t="s">
        <v>18</v>
      </c>
      <c r="G20" s="569" t="s">
        <v>330</v>
      </c>
      <c r="H20" s="563" t="s">
        <v>575</v>
      </c>
      <c r="I20" s="570" t="s">
        <v>774</v>
      </c>
      <c r="J20" s="684" t="s">
        <v>19</v>
      </c>
      <c r="K20" s="563" t="s">
        <v>3</v>
      </c>
      <c r="L20" s="569" t="s">
        <v>21</v>
      </c>
      <c r="M20" s="569" t="s">
        <v>22</v>
      </c>
      <c r="N20" s="700" t="s">
        <v>1058</v>
      </c>
      <c r="O20" s="569" t="s">
        <v>1059</v>
      </c>
    </row>
    <row r="21" spans="1:15" ht="86.25" customHeight="1">
      <c r="A21" s="1079" t="s">
        <v>783</v>
      </c>
      <c r="B21" s="1079" t="s">
        <v>885</v>
      </c>
      <c r="C21" s="1079"/>
      <c r="D21" s="791" t="s">
        <v>780</v>
      </c>
      <c r="E21" s="461" t="s">
        <v>765</v>
      </c>
      <c r="F21" s="573">
        <v>4</v>
      </c>
      <c r="G21" s="573">
        <v>100000</v>
      </c>
      <c r="H21" s="574" t="s">
        <v>766</v>
      </c>
      <c r="I21" s="575">
        <f>F21*100000</f>
        <v>400000</v>
      </c>
      <c r="J21" s="683" t="s">
        <v>767</v>
      </c>
      <c r="K21" s="567" t="s">
        <v>768</v>
      </c>
      <c r="L21" s="564" t="s">
        <v>116</v>
      </c>
      <c r="M21" s="576" t="s">
        <v>769</v>
      </c>
      <c r="N21" s="701">
        <v>1440</v>
      </c>
      <c r="O21" s="571">
        <f t="shared" si="0"/>
        <v>10080</v>
      </c>
    </row>
    <row r="22" spans="1:15" ht="54" customHeight="1">
      <c r="A22" s="1080"/>
      <c r="B22" s="1080"/>
      <c r="C22" s="1080"/>
      <c r="D22" s="791" t="s">
        <v>784</v>
      </c>
      <c r="E22" s="460" t="s">
        <v>771</v>
      </c>
      <c r="F22" s="564">
        <v>40</v>
      </c>
      <c r="G22" s="564">
        <v>800</v>
      </c>
      <c r="H22" s="565" t="s">
        <v>766</v>
      </c>
      <c r="I22" s="568">
        <f>F22*G22</f>
        <v>32000</v>
      </c>
      <c r="J22" s="683" t="s">
        <v>767</v>
      </c>
      <c r="K22" s="567" t="s">
        <v>768</v>
      </c>
      <c r="L22" s="564"/>
      <c r="M22" s="567" t="s">
        <v>769</v>
      </c>
      <c r="N22" s="571">
        <v>0</v>
      </c>
      <c r="O22" s="571">
        <f t="shared" si="0"/>
        <v>0</v>
      </c>
    </row>
    <row r="23" spans="1:15" ht="116.25" customHeight="1">
      <c r="A23" s="1081"/>
      <c r="B23" s="1081"/>
      <c r="C23" s="1081"/>
      <c r="D23" s="787" t="s">
        <v>895</v>
      </c>
      <c r="E23" s="460" t="s">
        <v>25</v>
      </c>
      <c r="F23" s="564"/>
      <c r="G23" s="564">
        <v>0</v>
      </c>
      <c r="H23" s="565" t="s">
        <v>766</v>
      </c>
      <c r="I23" s="568">
        <v>40000</v>
      </c>
      <c r="J23" s="683" t="s">
        <v>767</v>
      </c>
      <c r="K23" s="567" t="s">
        <v>768</v>
      </c>
      <c r="L23" s="564"/>
      <c r="M23" s="567" t="s">
        <v>769</v>
      </c>
      <c r="N23" s="571"/>
      <c r="O23" s="571">
        <f t="shared" si="0"/>
        <v>0</v>
      </c>
    </row>
    <row r="24" spans="1:15" s="533" customFormat="1" ht="24.75" customHeight="1">
      <c r="A24" s="758" t="s">
        <v>773</v>
      </c>
      <c r="B24" s="759"/>
      <c r="C24" s="759"/>
      <c r="D24" s="788"/>
      <c r="E24" s="721"/>
      <c r="F24" s="722"/>
      <c r="G24" s="722"/>
      <c r="H24" s="723"/>
      <c r="I24" s="724">
        <f>SUM(I21:I23)</f>
        <v>472000</v>
      </c>
      <c r="J24" s="725"/>
      <c r="K24" s="728"/>
      <c r="L24" s="726"/>
      <c r="M24" s="723"/>
      <c r="N24" s="727">
        <f>SUM(N21:N23)</f>
        <v>1440</v>
      </c>
      <c r="O24" s="728">
        <f>SUM(O21:O23)</f>
        <v>10080</v>
      </c>
    </row>
    <row r="25" spans="1:15" s="533" customFormat="1" ht="56.25">
      <c r="A25" s="760" t="s">
        <v>13</v>
      </c>
      <c r="B25" s="760" t="s">
        <v>14</v>
      </c>
      <c r="C25" s="761" t="s">
        <v>15</v>
      </c>
      <c r="D25" s="790" t="s">
        <v>16</v>
      </c>
      <c r="E25" s="529" t="s">
        <v>17</v>
      </c>
      <c r="F25" s="569" t="s">
        <v>18</v>
      </c>
      <c r="G25" s="569" t="s">
        <v>330</v>
      </c>
      <c r="H25" s="563" t="s">
        <v>575</v>
      </c>
      <c r="I25" s="570" t="s">
        <v>774</v>
      </c>
      <c r="J25" s="684" t="s">
        <v>19</v>
      </c>
      <c r="K25" s="563" t="s">
        <v>3</v>
      </c>
      <c r="L25" s="569" t="s">
        <v>21</v>
      </c>
      <c r="M25" s="569" t="s">
        <v>22</v>
      </c>
      <c r="N25" s="700" t="s">
        <v>1058</v>
      </c>
      <c r="O25" s="569" t="s">
        <v>1059</v>
      </c>
    </row>
    <row r="26" spans="1:15" ht="45" customHeight="1">
      <c r="A26" s="1079" t="s">
        <v>785</v>
      </c>
      <c r="B26" s="1079" t="s">
        <v>23</v>
      </c>
      <c r="C26" s="1079" t="s">
        <v>868</v>
      </c>
      <c r="D26" s="626" t="s">
        <v>786</v>
      </c>
      <c r="E26" s="463" t="s">
        <v>765</v>
      </c>
      <c r="F26" s="564">
        <v>6</v>
      </c>
      <c r="G26" s="564">
        <v>100000</v>
      </c>
      <c r="H26" s="565" t="s">
        <v>766</v>
      </c>
      <c r="I26" s="571">
        <f>G26*F26</f>
        <v>600000</v>
      </c>
      <c r="J26" s="686" t="s">
        <v>767</v>
      </c>
      <c r="K26" s="567" t="s">
        <v>768</v>
      </c>
      <c r="L26" s="564" t="s">
        <v>116</v>
      </c>
      <c r="M26" s="565" t="s">
        <v>769</v>
      </c>
      <c r="N26" s="571">
        <v>2160</v>
      </c>
      <c r="O26" s="571">
        <f t="shared" si="0"/>
        <v>15120</v>
      </c>
    </row>
    <row r="27" spans="1:15" ht="44.25" customHeight="1">
      <c r="A27" s="1080"/>
      <c r="B27" s="1080"/>
      <c r="C27" s="1080"/>
      <c r="D27" s="626" t="s">
        <v>784</v>
      </c>
      <c r="E27" s="463" t="s">
        <v>771</v>
      </c>
      <c r="F27" s="564">
        <v>60</v>
      </c>
      <c r="G27" s="564">
        <v>800</v>
      </c>
      <c r="H27" s="565" t="s">
        <v>766</v>
      </c>
      <c r="I27" s="568">
        <f>F27*G27</f>
        <v>48000</v>
      </c>
      <c r="J27" s="686" t="s">
        <v>767</v>
      </c>
      <c r="K27" s="567" t="s">
        <v>768</v>
      </c>
      <c r="L27" s="564"/>
      <c r="M27" s="565" t="s">
        <v>769</v>
      </c>
      <c r="N27" s="571">
        <v>0</v>
      </c>
      <c r="O27" s="571">
        <f t="shared" si="0"/>
        <v>0</v>
      </c>
    </row>
    <row r="28" spans="1:15" ht="114" customHeight="1">
      <c r="A28" s="1081"/>
      <c r="B28" s="1081"/>
      <c r="C28" s="1081"/>
      <c r="D28" s="787" t="s">
        <v>895</v>
      </c>
      <c r="E28" s="464">
        <v>0</v>
      </c>
      <c r="F28" s="564">
        <v>0</v>
      </c>
      <c r="G28" s="564">
        <v>0</v>
      </c>
      <c r="H28" s="565" t="s">
        <v>782</v>
      </c>
      <c r="I28" s="568">
        <v>40000</v>
      </c>
      <c r="J28" s="686" t="s">
        <v>767</v>
      </c>
      <c r="K28" s="567" t="s">
        <v>768</v>
      </c>
      <c r="L28" s="564"/>
      <c r="M28" s="565" t="s">
        <v>778</v>
      </c>
      <c r="N28" s="571"/>
      <c r="O28" s="571">
        <f t="shared" si="0"/>
        <v>0</v>
      </c>
    </row>
    <row r="29" spans="1:15" s="533" customFormat="1" ht="34.5" customHeight="1">
      <c r="A29" s="758" t="s">
        <v>773</v>
      </c>
      <c r="B29" s="759"/>
      <c r="C29" s="759"/>
      <c r="D29" s="788"/>
      <c r="E29" s="721"/>
      <c r="F29" s="722"/>
      <c r="G29" s="722"/>
      <c r="H29" s="723"/>
      <c r="I29" s="724">
        <f>SUM(I26:I28)</f>
        <v>688000</v>
      </c>
      <c r="J29" s="725"/>
      <c r="K29" s="728"/>
      <c r="L29" s="726"/>
      <c r="M29" s="723"/>
      <c r="N29" s="727">
        <f>SUM(N26:N28)</f>
        <v>2160</v>
      </c>
      <c r="O29" s="728">
        <f>SUM(O26:O28)</f>
        <v>15120</v>
      </c>
    </row>
    <row r="30" spans="1:15" ht="56.25">
      <c r="A30" s="760" t="s">
        <v>13</v>
      </c>
      <c r="B30" s="760" t="s">
        <v>14</v>
      </c>
      <c r="C30" s="761" t="s">
        <v>15</v>
      </c>
      <c r="D30" s="790" t="s">
        <v>16</v>
      </c>
      <c r="E30" s="529" t="s">
        <v>17</v>
      </c>
      <c r="F30" s="569" t="s">
        <v>18</v>
      </c>
      <c r="G30" s="569" t="s">
        <v>330</v>
      </c>
      <c r="H30" s="563" t="s">
        <v>575</v>
      </c>
      <c r="I30" s="570" t="s">
        <v>774</v>
      </c>
      <c r="J30" s="684" t="s">
        <v>19</v>
      </c>
      <c r="K30" s="563" t="s">
        <v>3</v>
      </c>
      <c r="L30" s="569" t="s">
        <v>21</v>
      </c>
      <c r="M30" s="569" t="s">
        <v>22</v>
      </c>
      <c r="N30" s="700" t="s">
        <v>1058</v>
      </c>
      <c r="O30" s="569" t="s">
        <v>1059</v>
      </c>
    </row>
    <row r="31" spans="1:15" ht="43.5" customHeight="1">
      <c r="A31" s="1079" t="s">
        <v>787</v>
      </c>
      <c r="B31" s="1079" t="s">
        <v>788</v>
      </c>
      <c r="C31" s="1079"/>
      <c r="D31" s="792" t="s">
        <v>789</v>
      </c>
      <c r="E31" s="464" t="s">
        <v>24</v>
      </c>
      <c r="F31" s="573">
        <v>2</v>
      </c>
      <c r="G31" s="573">
        <v>144000</v>
      </c>
      <c r="H31" s="574" t="s">
        <v>766</v>
      </c>
      <c r="I31" s="575">
        <f>F31*G31</f>
        <v>288000</v>
      </c>
      <c r="J31" s="686" t="s">
        <v>767</v>
      </c>
      <c r="K31" s="567" t="s">
        <v>768</v>
      </c>
      <c r="L31" s="564" t="s">
        <v>116</v>
      </c>
      <c r="M31" s="574" t="s">
        <v>769</v>
      </c>
      <c r="N31" s="701">
        <f>F31*360</f>
        <v>720</v>
      </c>
      <c r="O31" s="571">
        <f t="shared" si="0"/>
        <v>5040</v>
      </c>
    </row>
    <row r="32" spans="1:15" ht="47.25" customHeight="1">
      <c r="A32" s="1081"/>
      <c r="B32" s="1081"/>
      <c r="C32" s="1081"/>
      <c r="D32" s="792" t="s">
        <v>790</v>
      </c>
      <c r="E32" s="464"/>
      <c r="F32" s="564"/>
      <c r="G32" s="564">
        <v>10000</v>
      </c>
      <c r="H32" s="565" t="s">
        <v>766</v>
      </c>
      <c r="I32" s="568">
        <f>G32</f>
        <v>10000</v>
      </c>
      <c r="J32" s="686" t="s">
        <v>767</v>
      </c>
      <c r="K32" s="567" t="s">
        <v>768</v>
      </c>
      <c r="L32" s="564"/>
      <c r="M32" s="565" t="s">
        <v>769</v>
      </c>
      <c r="N32" s="571">
        <v>0</v>
      </c>
      <c r="O32" s="571">
        <f t="shared" si="0"/>
        <v>0</v>
      </c>
    </row>
    <row r="33" spans="1:15" s="533" customFormat="1" ht="34.5" customHeight="1">
      <c r="A33" s="758" t="s">
        <v>773</v>
      </c>
      <c r="B33" s="759"/>
      <c r="C33" s="759"/>
      <c r="D33" s="788"/>
      <c r="E33" s="721"/>
      <c r="F33" s="722"/>
      <c r="G33" s="722"/>
      <c r="H33" s="723"/>
      <c r="I33" s="724">
        <f>SUM(I31:I32)</f>
        <v>298000</v>
      </c>
      <c r="J33" s="725"/>
      <c r="K33" s="728"/>
      <c r="L33" s="726"/>
      <c r="M33" s="723"/>
      <c r="N33" s="727">
        <f>SUM(N31:N32)</f>
        <v>720</v>
      </c>
      <c r="O33" s="728">
        <f>SUM(O31:O32)</f>
        <v>5040</v>
      </c>
    </row>
    <row r="34" spans="1:15" ht="44.25" customHeight="1">
      <c r="A34" s="760" t="s">
        <v>13</v>
      </c>
      <c r="B34" s="760" t="s">
        <v>14</v>
      </c>
      <c r="C34" s="761" t="s">
        <v>15</v>
      </c>
      <c r="D34" s="790" t="s">
        <v>16</v>
      </c>
      <c r="E34" s="529" t="s">
        <v>17</v>
      </c>
      <c r="F34" s="569" t="s">
        <v>18</v>
      </c>
      <c r="G34" s="569" t="s">
        <v>330</v>
      </c>
      <c r="H34" s="563" t="s">
        <v>575</v>
      </c>
      <c r="I34" s="570" t="s">
        <v>774</v>
      </c>
      <c r="J34" s="684" t="s">
        <v>19</v>
      </c>
      <c r="K34" s="563" t="s">
        <v>3</v>
      </c>
      <c r="L34" s="569" t="s">
        <v>21</v>
      </c>
      <c r="M34" s="569" t="s">
        <v>22</v>
      </c>
      <c r="N34" s="700" t="s">
        <v>1058</v>
      </c>
      <c r="O34" s="569" t="s">
        <v>1059</v>
      </c>
    </row>
    <row r="35" spans="1:15" ht="45" customHeight="1">
      <c r="A35" s="1079" t="s">
        <v>791</v>
      </c>
      <c r="B35" s="1079" t="s">
        <v>788</v>
      </c>
      <c r="C35" s="1079"/>
      <c r="D35" s="792" t="s">
        <v>1052</v>
      </c>
      <c r="E35" s="464" t="s">
        <v>28</v>
      </c>
      <c r="F35" s="564">
        <v>1</v>
      </c>
      <c r="G35" s="564">
        <v>144000</v>
      </c>
      <c r="H35" s="565" t="s">
        <v>766</v>
      </c>
      <c r="I35" s="568">
        <f>F35*G35</f>
        <v>144000</v>
      </c>
      <c r="J35" s="686" t="s">
        <v>767</v>
      </c>
      <c r="K35" s="567" t="s">
        <v>768</v>
      </c>
      <c r="L35" s="564" t="s">
        <v>116</v>
      </c>
      <c r="M35" s="565" t="s">
        <v>769</v>
      </c>
      <c r="N35" s="571">
        <v>360</v>
      </c>
      <c r="O35" s="571">
        <f t="shared" si="0"/>
        <v>2520</v>
      </c>
    </row>
    <row r="36" spans="1:15" ht="51" customHeight="1">
      <c r="A36" s="1081"/>
      <c r="B36" s="1081"/>
      <c r="C36" s="1081"/>
      <c r="D36" s="792" t="s">
        <v>790</v>
      </c>
      <c r="E36" s="464"/>
      <c r="F36" s="564"/>
      <c r="G36" s="564">
        <v>10000</v>
      </c>
      <c r="H36" s="565" t="s">
        <v>766</v>
      </c>
      <c r="I36" s="568">
        <f>G36</f>
        <v>10000</v>
      </c>
      <c r="J36" s="686" t="s">
        <v>767</v>
      </c>
      <c r="K36" s="567" t="s">
        <v>768</v>
      </c>
      <c r="L36" s="564"/>
      <c r="M36" s="565" t="s">
        <v>769</v>
      </c>
      <c r="N36" s="571">
        <v>0</v>
      </c>
      <c r="O36" s="571">
        <f t="shared" si="0"/>
        <v>0</v>
      </c>
    </row>
    <row r="37" spans="1:15" s="533" customFormat="1" ht="34.5" customHeight="1">
      <c r="A37" s="758" t="s">
        <v>773</v>
      </c>
      <c r="B37" s="759"/>
      <c r="C37" s="759"/>
      <c r="D37" s="788"/>
      <c r="E37" s="721"/>
      <c r="F37" s="722"/>
      <c r="G37" s="722"/>
      <c r="H37" s="723"/>
      <c r="I37" s="724">
        <f>SUM(I35:I36)</f>
        <v>154000</v>
      </c>
      <c r="J37" s="725"/>
      <c r="K37" s="728"/>
      <c r="L37" s="726"/>
      <c r="M37" s="723"/>
      <c r="N37" s="727">
        <f>SUM(N35:N36)</f>
        <v>360</v>
      </c>
      <c r="O37" s="728">
        <f>SUM(O35:O36)</f>
        <v>2520</v>
      </c>
    </row>
    <row r="38" spans="1:15" ht="37.5" customHeight="1">
      <c r="A38" s="760" t="s">
        <v>13</v>
      </c>
      <c r="B38" s="760" t="s">
        <v>14</v>
      </c>
      <c r="C38" s="761" t="s">
        <v>15</v>
      </c>
      <c r="D38" s="790" t="s">
        <v>16</v>
      </c>
      <c r="E38" s="529" t="s">
        <v>17</v>
      </c>
      <c r="F38" s="569" t="s">
        <v>18</v>
      </c>
      <c r="G38" s="569" t="s">
        <v>330</v>
      </c>
      <c r="H38" s="563" t="s">
        <v>575</v>
      </c>
      <c r="I38" s="570" t="s">
        <v>774</v>
      </c>
      <c r="J38" s="684" t="s">
        <v>19</v>
      </c>
      <c r="K38" s="563" t="s">
        <v>3</v>
      </c>
      <c r="L38" s="569" t="s">
        <v>21</v>
      </c>
      <c r="M38" s="569" t="s">
        <v>22</v>
      </c>
      <c r="N38" s="700" t="s">
        <v>1058</v>
      </c>
      <c r="O38" s="569" t="s">
        <v>1059</v>
      </c>
    </row>
    <row r="39" spans="1:15" ht="45" customHeight="1">
      <c r="A39" s="1079" t="s">
        <v>792</v>
      </c>
      <c r="B39" s="1079" t="s">
        <v>23</v>
      </c>
      <c r="C39" s="1079"/>
      <c r="D39" s="792" t="s">
        <v>1052</v>
      </c>
      <c r="E39" s="464" t="s">
        <v>28</v>
      </c>
      <c r="F39" s="564">
        <v>1</v>
      </c>
      <c r="G39" s="564">
        <v>144000</v>
      </c>
      <c r="H39" s="567" t="s">
        <v>766</v>
      </c>
      <c r="I39" s="568">
        <f>F39*G39</f>
        <v>144000</v>
      </c>
      <c r="J39" s="686" t="s">
        <v>767</v>
      </c>
      <c r="K39" s="567" t="s">
        <v>768</v>
      </c>
      <c r="L39" s="564" t="s">
        <v>116</v>
      </c>
      <c r="M39" s="565" t="s">
        <v>793</v>
      </c>
      <c r="N39" s="571">
        <v>360</v>
      </c>
      <c r="O39" s="571">
        <f t="shared" si="0"/>
        <v>2520</v>
      </c>
    </row>
    <row r="40" spans="1:15" ht="52.5" customHeight="1">
      <c r="A40" s="1081"/>
      <c r="B40" s="1081"/>
      <c r="C40" s="1081"/>
      <c r="D40" s="792" t="s">
        <v>790</v>
      </c>
      <c r="E40" s="464"/>
      <c r="F40" s="564"/>
      <c r="G40" s="564"/>
      <c r="H40" s="567" t="s">
        <v>766</v>
      </c>
      <c r="I40" s="568">
        <v>10000</v>
      </c>
      <c r="J40" s="686" t="s">
        <v>767</v>
      </c>
      <c r="K40" s="567" t="s">
        <v>768</v>
      </c>
      <c r="L40" s="564"/>
      <c r="M40" s="565" t="s">
        <v>769</v>
      </c>
      <c r="N40" s="571">
        <v>0</v>
      </c>
      <c r="O40" s="571">
        <f t="shared" si="0"/>
        <v>0</v>
      </c>
    </row>
    <row r="41" spans="1:15" s="533" customFormat="1" ht="34.5" customHeight="1">
      <c r="A41" s="758" t="s">
        <v>773</v>
      </c>
      <c r="B41" s="759"/>
      <c r="C41" s="759"/>
      <c r="D41" s="788"/>
      <c r="E41" s="721"/>
      <c r="F41" s="722"/>
      <c r="G41" s="722"/>
      <c r="H41" s="723"/>
      <c r="I41" s="724">
        <f>SUM(I39:I40)</f>
        <v>154000</v>
      </c>
      <c r="J41" s="725"/>
      <c r="K41" s="728"/>
      <c r="L41" s="726"/>
      <c r="M41" s="723"/>
      <c r="N41" s="727">
        <f>SUM(N39:N40)</f>
        <v>360</v>
      </c>
      <c r="O41" s="728">
        <f>SUM(O39:O40)</f>
        <v>2520</v>
      </c>
    </row>
    <row r="42" spans="1:15" s="533" customFormat="1" ht="37.5" customHeight="1">
      <c r="A42" s="760" t="s">
        <v>13</v>
      </c>
      <c r="B42" s="760" t="s">
        <v>14</v>
      </c>
      <c r="C42" s="761" t="s">
        <v>15</v>
      </c>
      <c r="D42" s="790" t="s">
        <v>16</v>
      </c>
      <c r="E42" s="529" t="s">
        <v>17</v>
      </c>
      <c r="F42" s="569" t="s">
        <v>18</v>
      </c>
      <c r="G42" s="569" t="s">
        <v>330</v>
      </c>
      <c r="H42" s="563" t="s">
        <v>575</v>
      </c>
      <c r="I42" s="570" t="s">
        <v>774</v>
      </c>
      <c r="J42" s="684" t="s">
        <v>19</v>
      </c>
      <c r="K42" s="563" t="s">
        <v>3</v>
      </c>
      <c r="L42" s="569" t="s">
        <v>21</v>
      </c>
      <c r="M42" s="569" t="s">
        <v>22</v>
      </c>
      <c r="N42" s="700" t="s">
        <v>1058</v>
      </c>
      <c r="O42" s="569" t="s">
        <v>1059</v>
      </c>
    </row>
    <row r="43" spans="1:15" ht="45" customHeight="1">
      <c r="A43" s="1079" t="s">
        <v>794</v>
      </c>
      <c r="B43" s="1079" t="s">
        <v>830</v>
      </c>
      <c r="C43" s="1079"/>
      <c r="D43" s="792" t="s">
        <v>795</v>
      </c>
      <c r="E43" s="464" t="s">
        <v>765</v>
      </c>
      <c r="F43" s="564">
        <v>10</v>
      </c>
      <c r="G43" s="564">
        <v>100000</v>
      </c>
      <c r="H43" s="565" t="s">
        <v>766</v>
      </c>
      <c r="I43" s="568">
        <f>F43*G43</f>
        <v>1000000</v>
      </c>
      <c r="J43" s="686" t="s">
        <v>767</v>
      </c>
      <c r="K43" s="567" t="s">
        <v>768</v>
      </c>
      <c r="L43" s="564" t="s">
        <v>116</v>
      </c>
      <c r="M43" s="565" t="s">
        <v>793</v>
      </c>
      <c r="N43" s="571">
        <v>3600</v>
      </c>
      <c r="O43" s="571">
        <f t="shared" si="0"/>
        <v>25200</v>
      </c>
    </row>
    <row r="44" spans="1:15" ht="45.75" customHeight="1">
      <c r="A44" s="1080"/>
      <c r="B44" s="1080"/>
      <c r="C44" s="1080"/>
      <c r="D44" s="792" t="s">
        <v>796</v>
      </c>
      <c r="E44" s="464" t="s">
        <v>771</v>
      </c>
      <c r="F44" s="564">
        <v>50</v>
      </c>
      <c r="G44" s="564">
        <v>1500</v>
      </c>
      <c r="H44" s="565" t="s">
        <v>766</v>
      </c>
      <c r="I44" s="568">
        <f>F44*G44</f>
        <v>75000</v>
      </c>
      <c r="J44" s="686" t="s">
        <v>767</v>
      </c>
      <c r="K44" s="567" t="s">
        <v>768</v>
      </c>
      <c r="L44" s="564"/>
      <c r="M44" s="565" t="s">
        <v>769</v>
      </c>
      <c r="N44" s="571">
        <v>0</v>
      </c>
      <c r="O44" s="571">
        <f t="shared" si="0"/>
        <v>0</v>
      </c>
    </row>
    <row r="45" spans="1:15" ht="45.75" customHeight="1">
      <c r="A45" s="1080"/>
      <c r="B45" s="1080"/>
      <c r="C45" s="1080"/>
      <c r="D45" s="792" t="s">
        <v>893</v>
      </c>
      <c r="E45" s="464" t="s">
        <v>781</v>
      </c>
      <c r="F45" s="564">
        <v>200</v>
      </c>
      <c r="G45" s="564">
        <v>800</v>
      </c>
      <c r="H45" s="565" t="s">
        <v>766</v>
      </c>
      <c r="I45" s="568">
        <f>F45*G45</f>
        <v>160000</v>
      </c>
      <c r="J45" s="686" t="s">
        <v>767</v>
      </c>
      <c r="K45" s="567" t="s">
        <v>768</v>
      </c>
      <c r="L45" s="564"/>
      <c r="M45" s="565" t="s">
        <v>793</v>
      </c>
      <c r="N45" s="571">
        <v>200</v>
      </c>
      <c r="O45" s="571">
        <f t="shared" si="0"/>
        <v>1400</v>
      </c>
    </row>
    <row r="46" spans="1:15" ht="119.25" customHeight="1">
      <c r="A46" s="1081"/>
      <c r="B46" s="1081"/>
      <c r="C46" s="1081"/>
      <c r="D46" s="787" t="s">
        <v>895</v>
      </c>
      <c r="E46" s="464"/>
      <c r="F46" s="564"/>
      <c r="G46" s="564"/>
      <c r="H46" s="565" t="s">
        <v>766</v>
      </c>
      <c r="I46" s="568">
        <v>40000</v>
      </c>
      <c r="J46" s="686" t="s">
        <v>767</v>
      </c>
      <c r="K46" s="567" t="s">
        <v>768</v>
      </c>
      <c r="L46" s="564"/>
      <c r="M46" s="565"/>
      <c r="N46" s="571"/>
      <c r="O46" s="571">
        <f t="shared" si="0"/>
        <v>0</v>
      </c>
    </row>
    <row r="47" spans="1:15" s="533" customFormat="1" ht="34.5" customHeight="1">
      <c r="A47" s="758" t="s">
        <v>773</v>
      </c>
      <c r="B47" s="759"/>
      <c r="C47" s="759"/>
      <c r="D47" s="788"/>
      <c r="E47" s="721"/>
      <c r="F47" s="722"/>
      <c r="G47" s="722"/>
      <c r="H47" s="723"/>
      <c r="I47" s="724">
        <f>SUM(I43:I46)</f>
        <v>1275000</v>
      </c>
      <c r="J47" s="725"/>
      <c r="K47" s="728"/>
      <c r="L47" s="726"/>
      <c r="M47" s="723"/>
      <c r="N47" s="727">
        <f>SUM(N43:N46)</f>
        <v>3800</v>
      </c>
      <c r="O47" s="728">
        <f>SUM(O43:O46)</f>
        <v>26600</v>
      </c>
    </row>
    <row r="48" spans="1:15" s="533" customFormat="1" ht="37.5" customHeight="1">
      <c r="A48" s="760" t="s">
        <v>13</v>
      </c>
      <c r="B48" s="760" t="s">
        <v>14</v>
      </c>
      <c r="C48" s="761" t="s">
        <v>15</v>
      </c>
      <c r="D48" s="790" t="s">
        <v>16</v>
      </c>
      <c r="E48" s="529" t="s">
        <v>17</v>
      </c>
      <c r="F48" s="569" t="s">
        <v>18</v>
      </c>
      <c r="G48" s="569" t="s">
        <v>330</v>
      </c>
      <c r="H48" s="563" t="s">
        <v>575</v>
      </c>
      <c r="I48" s="570" t="s">
        <v>774</v>
      </c>
      <c r="J48" s="684" t="s">
        <v>19</v>
      </c>
      <c r="K48" s="563" t="s">
        <v>3</v>
      </c>
      <c r="L48" s="569" t="s">
        <v>21</v>
      </c>
      <c r="M48" s="569" t="s">
        <v>22</v>
      </c>
      <c r="N48" s="700" t="s">
        <v>1058</v>
      </c>
      <c r="O48" s="569" t="s">
        <v>1058</v>
      </c>
    </row>
    <row r="49" spans="1:15" ht="100.5" customHeight="1">
      <c r="A49" s="1079" t="s">
        <v>911</v>
      </c>
      <c r="B49" s="1082" t="s">
        <v>912</v>
      </c>
      <c r="C49" s="1082"/>
      <c r="D49" s="793" t="s">
        <v>909</v>
      </c>
      <c r="E49" s="520" t="s">
        <v>765</v>
      </c>
      <c r="F49" s="577">
        <v>18</v>
      </c>
      <c r="G49" s="577">
        <v>100000</v>
      </c>
      <c r="H49" s="578" t="s">
        <v>766</v>
      </c>
      <c r="I49" s="579">
        <f t="shared" ref="I49:I53" si="1">F49*G49</f>
        <v>1800000</v>
      </c>
      <c r="J49" s="686" t="s">
        <v>767</v>
      </c>
      <c r="K49" s="567" t="s">
        <v>768</v>
      </c>
      <c r="L49" s="564" t="s">
        <v>116</v>
      </c>
      <c r="M49" s="567" t="s">
        <v>769</v>
      </c>
      <c r="N49" s="571">
        <v>7382</v>
      </c>
      <c r="O49" s="571">
        <f>N49*7</f>
        <v>51674</v>
      </c>
    </row>
    <row r="50" spans="1:15" ht="46.5" customHeight="1">
      <c r="A50" s="1080"/>
      <c r="B50" s="1083"/>
      <c r="C50" s="1083"/>
      <c r="D50" s="793" t="s">
        <v>797</v>
      </c>
      <c r="E50" s="520" t="s">
        <v>771</v>
      </c>
      <c r="F50" s="577">
        <v>180</v>
      </c>
      <c r="G50" s="577">
        <v>700</v>
      </c>
      <c r="H50" s="578" t="s">
        <v>766</v>
      </c>
      <c r="I50" s="568">
        <f t="shared" si="1"/>
        <v>126000</v>
      </c>
      <c r="J50" s="686" t="s">
        <v>767</v>
      </c>
      <c r="K50" s="567" t="s">
        <v>768</v>
      </c>
      <c r="L50" s="564"/>
      <c r="M50" s="567" t="s">
        <v>793</v>
      </c>
      <c r="N50" s="571">
        <v>0</v>
      </c>
      <c r="O50" s="571">
        <f t="shared" si="0"/>
        <v>0</v>
      </c>
    </row>
    <row r="51" spans="1:15" ht="59.25" customHeight="1">
      <c r="A51" s="1080"/>
      <c r="B51" s="1083"/>
      <c r="C51" s="1083"/>
      <c r="D51" s="793" t="s">
        <v>910</v>
      </c>
      <c r="E51" s="520" t="s">
        <v>771</v>
      </c>
      <c r="F51" s="577">
        <v>5000</v>
      </c>
      <c r="G51" s="577">
        <v>250</v>
      </c>
      <c r="H51" s="578" t="s">
        <v>766</v>
      </c>
      <c r="I51" s="568">
        <f t="shared" si="1"/>
        <v>1250000</v>
      </c>
      <c r="J51" s="686" t="s">
        <v>767</v>
      </c>
      <c r="K51" s="567" t="s">
        <v>768</v>
      </c>
      <c r="L51" s="564"/>
      <c r="M51" s="567" t="s">
        <v>793</v>
      </c>
      <c r="N51" s="571">
        <v>0</v>
      </c>
      <c r="O51" s="571">
        <f t="shared" si="0"/>
        <v>0</v>
      </c>
    </row>
    <row r="52" spans="1:15" ht="45.75" customHeight="1">
      <c r="A52" s="1080"/>
      <c r="B52" s="1083"/>
      <c r="C52" s="1083"/>
      <c r="D52" s="794" t="s">
        <v>798</v>
      </c>
      <c r="E52" s="520" t="s">
        <v>781</v>
      </c>
      <c r="F52" s="577">
        <v>900</v>
      </c>
      <c r="G52" s="577">
        <v>800</v>
      </c>
      <c r="H52" s="578" t="s">
        <v>766</v>
      </c>
      <c r="I52" s="568">
        <f t="shared" si="1"/>
        <v>720000</v>
      </c>
      <c r="J52" s="686" t="s">
        <v>767</v>
      </c>
      <c r="K52" s="567" t="s">
        <v>768</v>
      </c>
      <c r="L52" s="564"/>
      <c r="M52" s="567" t="s">
        <v>793</v>
      </c>
      <c r="N52" s="571">
        <v>900</v>
      </c>
      <c r="O52" s="571">
        <f t="shared" si="0"/>
        <v>6300</v>
      </c>
    </row>
    <row r="53" spans="1:15" ht="93.75" customHeight="1">
      <c r="A53" s="1081"/>
      <c r="B53" s="1084"/>
      <c r="C53" s="1084"/>
      <c r="D53" s="794" t="s">
        <v>895</v>
      </c>
      <c r="E53" s="520" t="s">
        <v>913</v>
      </c>
      <c r="F53" s="577">
        <v>100</v>
      </c>
      <c r="G53" s="577">
        <v>10000</v>
      </c>
      <c r="H53" s="567" t="s">
        <v>766</v>
      </c>
      <c r="I53" s="580">
        <f t="shared" si="1"/>
        <v>1000000</v>
      </c>
      <c r="J53" s="686" t="s">
        <v>767</v>
      </c>
      <c r="K53" s="567" t="s">
        <v>768</v>
      </c>
      <c r="L53" s="564"/>
      <c r="M53" s="567" t="s">
        <v>793</v>
      </c>
      <c r="N53" s="571">
        <v>0</v>
      </c>
      <c r="O53" s="571">
        <f t="shared" si="0"/>
        <v>0</v>
      </c>
    </row>
    <row r="54" spans="1:15" s="533" customFormat="1" ht="57" customHeight="1">
      <c r="A54" s="758" t="s">
        <v>773</v>
      </c>
      <c r="B54" s="759"/>
      <c r="C54" s="759"/>
      <c r="D54" s="788"/>
      <c r="E54" s="721"/>
      <c r="F54" s="722"/>
      <c r="G54" s="722"/>
      <c r="H54" s="723"/>
      <c r="I54" s="724">
        <f>SUM(I49:I53)</f>
        <v>4896000</v>
      </c>
      <c r="J54" s="725"/>
      <c r="K54" s="728"/>
      <c r="L54" s="726"/>
      <c r="M54" s="723"/>
      <c r="N54" s="727">
        <f>SUM(N49:N53)</f>
        <v>8282</v>
      </c>
      <c r="O54" s="728">
        <f>SUM(O49:O53)</f>
        <v>57974</v>
      </c>
    </row>
    <row r="55" spans="1:15" s="533" customFormat="1" ht="62.25" customHeight="1">
      <c r="A55" s="760" t="s">
        <v>13</v>
      </c>
      <c r="B55" s="760" t="s">
        <v>14</v>
      </c>
      <c r="C55" s="761" t="s">
        <v>15</v>
      </c>
      <c r="D55" s="790" t="s">
        <v>16</v>
      </c>
      <c r="E55" s="529" t="s">
        <v>17</v>
      </c>
      <c r="F55" s="569" t="s">
        <v>18</v>
      </c>
      <c r="G55" s="569" t="s">
        <v>330</v>
      </c>
      <c r="H55" s="563" t="s">
        <v>575</v>
      </c>
      <c r="I55" s="570" t="s">
        <v>774</v>
      </c>
      <c r="J55" s="684" t="s">
        <v>19</v>
      </c>
      <c r="K55" s="563" t="s">
        <v>3</v>
      </c>
      <c r="L55" s="569" t="s">
        <v>21</v>
      </c>
      <c r="M55" s="569" t="s">
        <v>22</v>
      </c>
      <c r="N55" s="700" t="s">
        <v>1058</v>
      </c>
      <c r="O55" s="569" t="s">
        <v>1058</v>
      </c>
    </row>
    <row r="56" spans="1:15" ht="93" customHeight="1">
      <c r="A56" s="1079" t="s">
        <v>799</v>
      </c>
      <c r="B56" s="1108" t="s">
        <v>869</v>
      </c>
      <c r="C56" s="1082" t="s">
        <v>870</v>
      </c>
      <c r="D56" s="793" t="s">
        <v>800</v>
      </c>
      <c r="E56" s="464" t="s">
        <v>765</v>
      </c>
      <c r="F56" s="564">
        <v>4</v>
      </c>
      <c r="G56" s="564">
        <v>100000</v>
      </c>
      <c r="H56" s="565" t="s">
        <v>766</v>
      </c>
      <c r="I56" s="568">
        <f>F56*G56</f>
        <v>400000</v>
      </c>
      <c r="J56" s="686" t="s">
        <v>767</v>
      </c>
      <c r="K56" s="567" t="s">
        <v>768</v>
      </c>
      <c r="L56" s="564" t="s">
        <v>116</v>
      </c>
      <c r="M56" s="565" t="s">
        <v>793</v>
      </c>
      <c r="N56" s="571">
        <f>F56*360</f>
        <v>1440</v>
      </c>
      <c r="O56" s="571">
        <f t="shared" si="0"/>
        <v>10080</v>
      </c>
    </row>
    <row r="57" spans="1:15" ht="38.25" customHeight="1">
      <c r="A57" s="1080"/>
      <c r="B57" s="1122"/>
      <c r="C57" s="1083"/>
      <c r="D57" s="792" t="s">
        <v>867</v>
      </c>
      <c r="E57" s="464" t="s">
        <v>771</v>
      </c>
      <c r="F57" s="564">
        <v>40</v>
      </c>
      <c r="G57" s="564">
        <v>800</v>
      </c>
      <c r="H57" s="565" t="s">
        <v>766</v>
      </c>
      <c r="I57" s="568">
        <f t="shared" ref="I57" si="2">F57*G57</f>
        <v>32000</v>
      </c>
      <c r="J57" s="686" t="s">
        <v>767</v>
      </c>
      <c r="K57" s="567" t="s">
        <v>768</v>
      </c>
      <c r="L57" s="564"/>
      <c r="M57" s="565" t="s">
        <v>769</v>
      </c>
      <c r="N57" s="571">
        <v>0</v>
      </c>
      <c r="O57" s="571">
        <f t="shared" si="0"/>
        <v>0</v>
      </c>
    </row>
    <row r="58" spans="1:15" ht="115.5" customHeight="1">
      <c r="A58" s="1081"/>
      <c r="B58" s="1109"/>
      <c r="C58" s="1084"/>
      <c r="D58" s="787" t="s">
        <v>895</v>
      </c>
      <c r="E58" s="464"/>
      <c r="F58" s="564"/>
      <c r="G58" s="564"/>
      <c r="H58" s="565" t="s">
        <v>766</v>
      </c>
      <c r="I58" s="568">
        <v>40000</v>
      </c>
      <c r="J58" s="686" t="s">
        <v>767</v>
      </c>
      <c r="K58" s="567" t="s">
        <v>768</v>
      </c>
      <c r="L58" s="564"/>
      <c r="M58" s="565"/>
      <c r="N58" s="571"/>
      <c r="O58" s="571">
        <f t="shared" si="0"/>
        <v>0</v>
      </c>
    </row>
    <row r="59" spans="1:15" s="533" customFormat="1" ht="57" customHeight="1">
      <c r="A59" s="758" t="s">
        <v>773</v>
      </c>
      <c r="B59" s="759"/>
      <c r="C59" s="759"/>
      <c r="D59" s="788"/>
      <c r="E59" s="721"/>
      <c r="F59" s="722"/>
      <c r="G59" s="722"/>
      <c r="H59" s="723"/>
      <c r="I59" s="724">
        <f>SUM(I56:I58)</f>
        <v>472000</v>
      </c>
      <c r="J59" s="725"/>
      <c r="K59" s="728"/>
      <c r="L59" s="726"/>
      <c r="M59" s="723"/>
      <c r="N59" s="727">
        <f t="shared" ref="N59:O59" si="3">SUM(N56:N57)</f>
        <v>1440</v>
      </c>
      <c r="O59" s="728">
        <f t="shared" si="3"/>
        <v>10080</v>
      </c>
    </row>
    <row r="60" spans="1:15" s="533" customFormat="1" ht="37.5" customHeight="1">
      <c r="A60" s="760" t="s">
        <v>13</v>
      </c>
      <c r="B60" s="760" t="s">
        <v>14</v>
      </c>
      <c r="C60" s="761" t="s">
        <v>15</v>
      </c>
      <c r="D60" s="790" t="s">
        <v>16</v>
      </c>
      <c r="E60" s="529" t="s">
        <v>17</v>
      </c>
      <c r="F60" s="569" t="s">
        <v>18</v>
      </c>
      <c r="G60" s="569" t="s">
        <v>330</v>
      </c>
      <c r="H60" s="563" t="s">
        <v>575</v>
      </c>
      <c r="I60" s="570" t="s">
        <v>774</v>
      </c>
      <c r="J60" s="684" t="s">
        <v>19</v>
      </c>
      <c r="K60" s="563" t="s">
        <v>3</v>
      </c>
      <c r="L60" s="569" t="s">
        <v>21</v>
      </c>
      <c r="M60" s="569" t="s">
        <v>22</v>
      </c>
      <c r="N60" s="700" t="s">
        <v>1058</v>
      </c>
      <c r="O60" s="569" t="s">
        <v>1058</v>
      </c>
    </row>
    <row r="61" spans="1:15" ht="64.5" customHeight="1">
      <c r="A61" s="1079" t="s">
        <v>1048</v>
      </c>
      <c r="B61" s="1082" t="s">
        <v>23</v>
      </c>
      <c r="C61" s="1082"/>
      <c r="D61" s="792" t="s">
        <v>1049</v>
      </c>
      <c r="E61" s="455" t="s">
        <v>765</v>
      </c>
      <c r="F61" s="564">
        <v>6</v>
      </c>
      <c r="G61" s="564">
        <v>100000</v>
      </c>
      <c r="H61" s="565" t="s">
        <v>766</v>
      </c>
      <c r="I61" s="568">
        <f>F61*G61</f>
        <v>600000</v>
      </c>
      <c r="J61" s="686" t="s">
        <v>767</v>
      </c>
      <c r="K61" s="567" t="s">
        <v>768</v>
      </c>
      <c r="L61" s="564" t="s">
        <v>116</v>
      </c>
      <c r="M61" s="565" t="s">
        <v>793</v>
      </c>
      <c r="N61" s="571">
        <f>F61*360</f>
        <v>2160</v>
      </c>
      <c r="O61" s="571">
        <f t="shared" si="0"/>
        <v>15120</v>
      </c>
    </row>
    <row r="62" spans="1:15" ht="39" customHeight="1">
      <c r="A62" s="1080"/>
      <c r="B62" s="1083"/>
      <c r="C62" s="1083"/>
      <c r="D62" s="792" t="s">
        <v>1050</v>
      </c>
      <c r="E62" s="455" t="s">
        <v>771</v>
      </c>
      <c r="F62" s="564">
        <v>60</v>
      </c>
      <c r="G62" s="564">
        <v>800</v>
      </c>
      <c r="H62" s="565" t="s">
        <v>766</v>
      </c>
      <c r="I62" s="568">
        <f t="shared" ref="I62" si="4">F62*G62</f>
        <v>48000</v>
      </c>
      <c r="J62" s="686" t="s">
        <v>767</v>
      </c>
      <c r="K62" s="567" t="s">
        <v>768</v>
      </c>
      <c r="L62" s="564"/>
      <c r="M62" s="565" t="s">
        <v>769</v>
      </c>
      <c r="N62" s="571">
        <v>0</v>
      </c>
      <c r="O62" s="571">
        <f t="shared" si="0"/>
        <v>0</v>
      </c>
    </row>
    <row r="63" spans="1:15" ht="39" customHeight="1">
      <c r="A63" s="1081"/>
      <c r="B63" s="1084"/>
      <c r="C63" s="1084"/>
      <c r="D63" s="787" t="s">
        <v>895</v>
      </c>
      <c r="E63" s="455"/>
      <c r="F63" s="564"/>
      <c r="G63" s="564"/>
      <c r="H63" s="565" t="s">
        <v>766</v>
      </c>
      <c r="I63" s="568">
        <v>40000</v>
      </c>
      <c r="J63" s="686" t="s">
        <v>767</v>
      </c>
      <c r="K63" s="567" t="s">
        <v>768</v>
      </c>
      <c r="L63" s="564"/>
      <c r="M63" s="565"/>
      <c r="N63" s="571"/>
      <c r="O63" s="571">
        <f t="shared" si="0"/>
        <v>0</v>
      </c>
    </row>
    <row r="64" spans="1:15" s="533" customFormat="1" ht="34.5" customHeight="1">
      <c r="A64" s="758" t="s">
        <v>773</v>
      </c>
      <c r="B64" s="759"/>
      <c r="C64" s="759"/>
      <c r="D64" s="788"/>
      <c r="E64" s="721"/>
      <c r="F64" s="722"/>
      <c r="G64" s="722"/>
      <c r="H64" s="723"/>
      <c r="I64" s="724">
        <f>SUM(I61:I63)</f>
        <v>688000</v>
      </c>
      <c r="J64" s="725"/>
      <c r="K64" s="728"/>
      <c r="L64" s="726"/>
      <c r="M64" s="723"/>
      <c r="N64" s="727">
        <f t="shared" ref="N64:O64" si="5">SUM(N61:N62)</f>
        <v>2160</v>
      </c>
      <c r="O64" s="728">
        <f t="shared" si="5"/>
        <v>15120</v>
      </c>
    </row>
    <row r="65" spans="1:15" s="533" customFormat="1" ht="37.5" customHeight="1">
      <c r="A65" s="760" t="s">
        <v>13</v>
      </c>
      <c r="B65" s="760" t="s">
        <v>14</v>
      </c>
      <c r="C65" s="761" t="s">
        <v>15</v>
      </c>
      <c r="D65" s="790" t="s">
        <v>16</v>
      </c>
      <c r="E65" s="529" t="s">
        <v>17</v>
      </c>
      <c r="F65" s="569" t="s">
        <v>18</v>
      </c>
      <c r="G65" s="569" t="s">
        <v>330</v>
      </c>
      <c r="H65" s="563" t="s">
        <v>575</v>
      </c>
      <c r="I65" s="570" t="s">
        <v>774</v>
      </c>
      <c r="J65" s="684" t="s">
        <v>19</v>
      </c>
      <c r="K65" s="563" t="s">
        <v>3</v>
      </c>
      <c r="L65" s="569" t="s">
        <v>21</v>
      </c>
      <c r="M65" s="569" t="s">
        <v>22</v>
      </c>
      <c r="N65" s="700" t="s">
        <v>1058</v>
      </c>
      <c r="O65" s="569" t="s">
        <v>1058</v>
      </c>
    </row>
    <row r="66" spans="1:15" ht="56.25">
      <c r="A66" s="1079" t="s">
        <v>23</v>
      </c>
      <c r="B66" s="1108" t="s">
        <v>788</v>
      </c>
      <c r="C66" s="1108"/>
      <c r="D66" s="795" t="s">
        <v>894</v>
      </c>
      <c r="E66" s="464" t="s">
        <v>24</v>
      </c>
      <c r="F66" s="564">
        <v>2</v>
      </c>
      <c r="G66" s="564">
        <v>60000</v>
      </c>
      <c r="H66" s="565" t="s">
        <v>766</v>
      </c>
      <c r="I66" s="568">
        <f>F66*G66*10</f>
        <v>1200000</v>
      </c>
      <c r="J66" s="686" t="s">
        <v>767</v>
      </c>
      <c r="K66" s="567" t="s">
        <v>768</v>
      </c>
      <c r="L66" s="564" t="s">
        <v>116</v>
      </c>
      <c r="M66" s="565" t="s">
        <v>793</v>
      </c>
      <c r="N66" s="571">
        <v>600</v>
      </c>
      <c r="O66" s="571">
        <f t="shared" si="0"/>
        <v>4200</v>
      </c>
    </row>
    <row r="67" spans="1:15" ht="45.75" customHeight="1">
      <c r="A67" s="1081"/>
      <c r="B67" s="1109"/>
      <c r="C67" s="1109"/>
      <c r="D67" s="796" t="s">
        <v>801</v>
      </c>
      <c r="E67" s="465"/>
      <c r="F67" s="581"/>
      <c r="G67" s="581"/>
      <c r="H67" s="582"/>
      <c r="I67" s="583">
        <v>817000</v>
      </c>
      <c r="J67" s="686" t="s">
        <v>767</v>
      </c>
      <c r="K67" s="567" t="s">
        <v>768</v>
      </c>
      <c r="L67" s="564"/>
      <c r="M67" s="565"/>
      <c r="N67" s="571"/>
      <c r="O67" s="571">
        <f t="shared" si="0"/>
        <v>0</v>
      </c>
    </row>
    <row r="68" spans="1:15" s="533" customFormat="1" ht="34.5" customHeight="1">
      <c r="A68" s="762" t="s">
        <v>773</v>
      </c>
      <c r="B68" s="763"/>
      <c r="C68" s="763"/>
      <c r="D68" s="797"/>
      <c r="E68" s="729"/>
      <c r="F68" s="730"/>
      <c r="G68" s="730"/>
      <c r="H68" s="731"/>
      <c r="I68" s="732">
        <f>SUM(I66:I67)</f>
        <v>2017000</v>
      </c>
      <c r="J68" s="733"/>
      <c r="K68" s="736"/>
      <c r="L68" s="734"/>
      <c r="M68" s="731"/>
      <c r="N68" s="735">
        <f>SUM(N66:N66)</f>
        <v>600</v>
      </c>
      <c r="O68" s="736">
        <f>SUM(O66:O66)</f>
        <v>4200</v>
      </c>
    </row>
    <row r="69" spans="1:15" ht="33.75" customHeight="1">
      <c r="A69" s="1097" t="s">
        <v>1060</v>
      </c>
      <c r="B69" s="1098"/>
      <c r="C69" s="1098"/>
      <c r="D69" s="1099"/>
      <c r="E69" s="737"/>
      <c r="F69" s="738"/>
      <c r="G69" s="738"/>
      <c r="H69" s="739"/>
      <c r="I69" s="740">
        <f t="shared" ref="I69:O69" si="6">SUM(I8+I13+I19+I24+I29+I33+I37+I41+I47+I54+I59+I64+I68)</f>
        <v>13770000</v>
      </c>
      <c r="J69" s="740">
        <f t="shared" si="6"/>
        <v>0</v>
      </c>
      <c r="K69" s="817">
        <f t="shared" si="6"/>
        <v>0</v>
      </c>
      <c r="L69" s="740">
        <f t="shared" si="6"/>
        <v>0</v>
      </c>
      <c r="M69" s="740">
        <f t="shared" si="6"/>
        <v>0</v>
      </c>
      <c r="N69" s="740">
        <f t="shared" si="6"/>
        <v>35205</v>
      </c>
      <c r="O69" s="740">
        <f t="shared" si="6"/>
        <v>246435</v>
      </c>
    </row>
    <row r="70" spans="1:15" s="756" customFormat="1" ht="48" customHeight="1">
      <c r="A70" s="1085" t="s">
        <v>806</v>
      </c>
      <c r="B70" s="1086"/>
      <c r="C70" s="1086"/>
      <c r="D70" s="1086"/>
      <c r="E70" s="1086"/>
      <c r="F70" s="1086"/>
      <c r="G70" s="1086"/>
      <c r="H70" s="1086"/>
      <c r="I70" s="1086"/>
      <c r="J70" s="1086"/>
      <c r="K70" s="1086"/>
      <c r="L70" s="1086"/>
      <c r="M70" s="1086"/>
      <c r="N70" s="1086"/>
      <c r="O70" s="1086">
        <f t="shared" ref="O70:O135" si="7">N70*7</f>
        <v>0</v>
      </c>
    </row>
    <row r="71" spans="1:15" s="757" customFormat="1" ht="18.75" customHeight="1">
      <c r="A71" s="675" t="s">
        <v>557</v>
      </c>
      <c r="B71" s="675" t="s">
        <v>14</v>
      </c>
      <c r="C71" s="675" t="s">
        <v>15</v>
      </c>
      <c r="D71" s="676" t="s">
        <v>634</v>
      </c>
      <c r="E71" s="741" t="s">
        <v>694</v>
      </c>
      <c r="F71" s="741" t="s">
        <v>337</v>
      </c>
      <c r="G71" s="741" t="s">
        <v>695</v>
      </c>
      <c r="H71" s="742" t="s">
        <v>696</v>
      </c>
      <c r="I71" s="743" t="s">
        <v>635</v>
      </c>
      <c r="J71" s="1120" t="s">
        <v>697</v>
      </c>
      <c r="K71" s="1121"/>
      <c r="L71" s="1106" t="s">
        <v>21</v>
      </c>
      <c r="M71" s="1110" t="s">
        <v>22</v>
      </c>
      <c r="N71" s="1110" t="s">
        <v>1058</v>
      </c>
      <c r="O71" s="1110" t="s">
        <v>1058</v>
      </c>
    </row>
    <row r="72" spans="1:15" s="757" customFormat="1" ht="20.25" customHeight="1">
      <c r="A72" s="677"/>
      <c r="B72" s="677"/>
      <c r="C72" s="677"/>
      <c r="D72" s="678"/>
      <c r="E72" s="744"/>
      <c r="F72" s="744"/>
      <c r="G72" s="744"/>
      <c r="H72" s="745"/>
      <c r="I72" s="746"/>
      <c r="J72" s="747" t="s">
        <v>19</v>
      </c>
      <c r="K72" s="748" t="s">
        <v>20</v>
      </c>
      <c r="L72" s="1107"/>
      <c r="M72" s="1111"/>
      <c r="N72" s="1111"/>
      <c r="O72" s="1111"/>
    </row>
    <row r="73" spans="1:15" ht="22.5" customHeight="1">
      <c r="A73" s="1073" t="s">
        <v>47</v>
      </c>
      <c r="B73" s="1073" t="s">
        <v>880</v>
      </c>
      <c r="C73" s="1073" t="s">
        <v>881</v>
      </c>
      <c r="D73" s="749" t="s">
        <v>489</v>
      </c>
      <c r="E73" s="497" t="s">
        <v>44</v>
      </c>
      <c r="F73" s="498">
        <v>1</v>
      </c>
      <c r="G73" s="497"/>
      <c r="H73" s="456">
        <v>10000</v>
      </c>
      <c r="I73" s="710">
        <f>F73*10000</f>
        <v>10000</v>
      </c>
      <c r="J73" s="687" t="s">
        <v>38</v>
      </c>
      <c r="K73" s="480" t="s">
        <v>698</v>
      </c>
      <c r="L73" s="486" t="s">
        <v>40</v>
      </c>
      <c r="M73" s="480" t="s">
        <v>43</v>
      </c>
      <c r="N73" s="702"/>
      <c r="O73" s="571">
        <f t="shared" si="7"/>
        <v>0</v>
      </c>
    </row>
    <row r="74" spans="1:15" ht="29.25" customHeight="1">
      <c r="A74" s="1074"/>
      <c r="B74" s="1074"/>
      <c r="C74" s="1074"/>
      <c r="D74" s="749" t="s">
        <v>897</v>
      </c>
      <c r="E74" s="497" t="s">
        <v>28</v>
      </c>
      <c r="F74" s="498">
        <v>20</v>
      </c>
      <c r="G74" s="497"/>
      <c r="H74" s="456">
        <v>3000</v>
      </c>
      <c r="I74" s="710">
        <f>F74*3000</f>
        <v>60000</v>
      </c>
      <c r="J74" s="687" t="s">
        <v>699</v>
      </c>
      <c r="K74" s="480" t="s">
        <v>700</v>
      </c>
      <c r="L74" s="486" t="s">
        <v>40</v>
      </c>
      <c r="M74" s="480" t="s">
        <v>43</v>
      </c>
      <c r="N74" s="702">
        <v>0</v>
      </c>
      <c r="O74" s="571">
        <f t="shared" si="7"/>
        <v>0</v>
      </c>
    </row>
    <row r="75" spans="1:15" ht="48.75" customHeight="1">
      <c r="A75" s="1074"/>
      <c r="B75" s="1074"/>
      <c r="C75" s="1074"/>
      <c r="D75" s="750" t="s">
        <v>701</v>
      </c>
      <c r="E75" s="524" t="s">
        <v>481</v>
      </c>
      <c r="F75" s="499">
        <v>40</v>
      </c>
      <c r="G75" s="524"/>
      <c r="H75" s="456"/>
      <c r="I75" s="710"/>
      <c r="J75" s="687"/>
      <c r="K75" s="482"/>
      <c r="L75" s="486"/>
      <c r="M75" s="480"/>
      <c r="N75" s="702"/>
      <c r="O75" s="571">
        <f t="shared" si="7"/>
        <v>0</v>
      </c>
    </row>
    <row r="76" spans="1:15" ht="22.5" customHeight="1">
      <c r="A76" s="1074"/>
      <c r="B76" s="1074"/>
      <c r="C76" s="1074"/>
      <c r="D76" s="750" t="s">
        <v>702</v>
      </c>
      <c r="E76" s="524" t="s">
        <v>481</v>
      </c>
      <c r="F76" s="500">
        <v>60</v>
      </c>
      <c r="G76" s="524"/>
      <c r="H76" s="501"/>
      <c r="I76" s="710"/>
      <c r="J76" s="687"/>
      <c r="K76" s="482"/>
      <c r="L76" s="486"/>
      <c r="M76" s="480"/>
      <c r="N76" s="702"/>
      <c r="O76" s="571">
        <f t="shared" si="7"/>
        <v>0</v>
      </c>
    </row>
    <row r="77" spans="1:15" ht="22.5" customHeight="1">
      <c r="A77" s="1074"/>
      <c r="B77" s="1074"/>
      <c r="C77" s="1074"/>
      <c r="D77" s="798" t="s">
        <v>703</v>
      </c>
      <c r="E77" s="497" t="s">
        <v>336</v>
      </c>
      <c r="F77" s="502">
        <f>F76*5</f>
        <v>300</v>
      </c>
      <c r="G77" s="456"/>
      <c r="H77" s="456">
        <v>500</v>
      </c>
      <c r="I77" s="710">
        <f>F77*500</f>
        <v>150000</v>
      </c>
      <c r="J77" s="688" t="s">
        <v>704</v>
      </c>
      <c r="K77" s="584" t="s">
        <v>705</v>
      </c>
      <c r="L77" s="486" t="s">
        <v>40</v>
      </c>
      <c r="M77" s="480" t="s">
        <v>43</v>
      </c>
      <c r="N77" s="702">
        <v>0</v>
      </c>
      <c r="O77" s="571">
        <f t="shared" si="7"/>
        <v>0</v>
      </c>
    </row>
    <row r="78" spans="1:15" ht="22.5" customHeight="1">
      <c r="A78" s="1074"/>
      <c r="B78" s="1074"/>
      <c r="C78" s="1074"/>
      <c r="D78" s="798" t="s">
        <v>706</v>
      </c>
      <c r="E78" s="497" t="s">
        <v>707</v>
      </c>
      <c r="F78" s="503">
        <f>F76*10000</f>
        <v>600000</v>
      </c>
      <c r="G78" s="456">
        <v>4000</v>
      </c>
      <c r="H78" s="456">
        <v>400</v>
      </c>
      <c r="I78" s="710">
        <f>F78/4000*400</f>
        <v>60000</v>
      </c>
      <c r="J78" s="688" t="s">
        <v>708</v>
      </c>
      <c r="K78" s="584" t="s">
        <v>705</v>
      </c>
      <c r="L78" s="486" t="s">
        <v>40</v>
      </c>
      <c r="M78" s="480" t="s">
        <v>43</v>
      </c>
      <c r="N78" s="702">
        <f>I78/400</f>
        <v>150</v>
      </c>
      <c r="O78" s="571">
        <f t="shared" si="7"/>
        <v>1050</v>
      </c>
    </row>
    <row r="79" spans="1:15" ht="22.5" customHeight="1">
      <c r="A79" s="1074"/>
      <c r="B79" s="1074"/>
      <c r="C79" s="1074"/>
      <c r="D79" s="750" t="s">
        <v>709</v>
      </c>
      <c r="E79" s="524" t="s">
        <v>481</v>
      </c>
      <c r="F79" s="500">
        <v>10</v>
      </c>
      <c r="G79" s="497"/>
      <c r="H79" s="456"/>
      <c r="I79" s="710"/>
      <c r="J79" s="687"/>
      <c r="K79" s="482"/>
      <c r="L79" s="486"/>
      <c r="M79" s="480"/>
      <c r="N79" s="702"/>
      <c r="O79" s="571">
        <f t="shared" si="7"/>
        <v>0</v>
      </c>
    </row>
    <row r="80" spans="1:15" ht="22.5" customHeight="1">
      <c r="A80" s="1074"/>
      <c r="B80" s="1074"/>
      <c r="C80" s="1074"/>
      <c r="D80" s="798" t="s">
        <v>901</v>
      </c>
      <c r="E80" s="497" t="s">
        <v>36</v>
      </c>
      <c r="F80" s="498">
        <v>50000</v>
      </c>
      <c r="G80" s="456">
        <v>125</v>
      </c>
      <c r="H80" s="456">
        <v>400</v>
      </c>
      <c r="I80" s="710">
        <f>F80/125*400</f>
        <v>160000</v>
      </c>
      <c r="J80" s="689" t="s">
        <v>902</v>
      </c>
      <c r="K80" s="485" t="s">
        <v>586</v>
      </c>
      <c r="L80" s="585" t="s">
        <v>40</v>
      </c>
      <c r="M80" s="485" t="s">
        <v>43</v>
      </c>
      <c r="N80" s="703">
        <f t="shared" ref="N80:N81" si="8">I80/400</f>
        <v>400</v>
      </c>
      <c r="O80" s="571">
        <f t="shared" si="7"/>
        <v>2800</v>
      </c>
    </row>
    <row r="81" spans="1:15" ht="22.5" customHeight="1">
      <c r="A81" s="1074"/>
      <c r="B81" s="1074"/>
      <c r="C81" s="1074"/>
      <c r="D81" s="798" t="s">
        <v>498</v>
      </c>
      <c r="E81" s="497" t="s">
        <v>48</v>
      </c>
      <c r="F81" s="498">
        <v>50000</v>
      </c>
      <c r="G81" s="456">
        <v>250</v>
      </c>
      <c r="H81" s="456">
        <v>400</v>
      </c>
      <c r="I81" s="710">
        <f t="shared" ref="I81" si="9">F81/250*400</f>
        <v>80000</v>
      </c>
      <c r="J81" s="687" t="s">
        <v>710</v>
      </c>
      <c r="K81" s="480" t="s">
        <v>39</v>
      </c>
      <c r="L81" s="486" t="s">
        <v>40</v>
      </c>
      <c r="M81" s="480" t="s">
        <v>43</v>
      </c>
      <c r="N81" s="702">
        <f t="shared" si="8"/>
        <v>200</v>
      </c>
      <c r="O81" s="571">
        <f t="shared" si="7"/>
        <v>1400</v>
      </c>
    </row>
    <row r="82" spans="1:15" ht="22.5" customHeight="1">
      <c r="A82" s="1074"/>
      <c r="B82" s="1074"/>
      <c r="C82" s="1074"/>
      <c r="D82" s="798" t="s">
        <v>49</v>
      </c>
      <c r="E82" s="497" t="s">
        <v>27</v>
      </c>
      <c r="F82" s="498">
        <v>15</v>
      </c>
      <c r="G82" s="497"/>
      <c r="H82" s="456">
        <v>4000</v>
      </c>
      <c r="I82" s="710">
        <f>F82*4000</f>
        <v>60000</v>
      </c>
      <c r="J82" s="687" t="s">
        <v>711</v>
      </c>
      <c r="K82" s="480" t="s">
        <v>712</v>
      </c>
      <c r="L82" s="486" t="s">
        <v>40</v>
      </c>
      <c r="M82" s="480"/>
      <c r="N82" s="702">
        <v>0</v>
      </c>
      <c r="O82" s="571">
        <f t="shared" si="7"/>
        <v>0</v>
      </c>
    </row>
    <row r="83" spans="1:15" ht="22.5" customHeight="1">
      <c r="A83" s="1074"/>
      <c r="B83" s="1074"/>
      <c r="C83" s="1074"/>
      <c r="D83" s="798" t="s">
        <v>50</v>
      </c>
      <c r="E83" s="497" t="s">
        <v>51</v>
      </c>
      <c r="F83" s="498">
        <v>12</v>
      </c>
      <c r="G83" s="497"/>
      <c r="H83" s="456">
        <v>300</v>
      </c>
      <c r="I83" s="710">
        <f>F83*H83</f>
        <v>3600</v>
      </c>
      <c r="J83" s="687" t="s">
        <v>711</v>
      </c>
      <c r="K83" s="480" t="s">
        <v>712</v>
      </c>
      <c r="L83" s="486" t="s">
        <v>40</v>
      </c>
      <c r="M83" s="480"/>
      <c r="N83" s="702">
        <v>0</v>
      </c>
      <c r="O83" s="571">
        <f t="shared" si="7"/>
        <v>0</v>
      </c>
    </row>
    <row r="84" spans="1:15" ht="22.5" customHeight="1">
      <c r="A84" s="1074"/>
      <c r="B84" s="1074"/>
      <c r="C84" s="1074"/>
      <c r="D84" s="798" t="s">
        <v>52</v>
      </c>
      <c r="E84" s="497" t="s">
        <v>26</v>
      </c>
      <c r="F84" s="498">
        <v>50000</v>
      </c>
      <c r="G84" s="497"/>
      <c r="H84" s="504">
        <v>0.2</v>
      </c>
      <c r="I84" s="710">
        <f>0.2*F84</f>
        <v>10000</v>
      </c>
      <c r="J84" s="687" t="s">
        <v>710</v>
      </c>
      <c r="K84" s="480" t="s">
        <v>586</v>
      </c>
      <c r="L84" s="486" t="s">
        <v>40</v>
      </c>
      <c r="M84" s="480"/>
      <c r="N84" s="702">
        <v>0</v>
      </c>
      <c r="O84" s="571">
        <f t="shared" si="7"/>
        <v>0</v>
      </c>
    </row>
    <row r="85" spans="1:15" ht="22.5" customHeight="1">
      <c r="A85" s="1075"/>
      <c r="B85" s="1075"/>
      <c r="C85" s="1075"/>
      <c r="D85" s="798" t="s">
        <v>896</v>
      </c>
      <c r="E85" s="497"/>
      <c r="F85" s="498">
        <v>1</v>
      </c>
      <c r="G85" s="497"/>
      <c r="H85" s="456">
        <v>18569</v>
      </c>
      <c r="I85" s="711">
        <f>F85*H85</f>
        <v>18569</v>
      </c>
      <c r="J85" s="690" t="s">
        <v>488</v>
      </c>
      <c r="K85" s="480" t="s">
        <v>39</v>
      </c>
      <c r="L85" s="486" t="s">
        <v>40</v>
      </c>
      <c r="M85" s="483"/>
      <c r="N85" s="702">
        <v>0</v>
      </c>
      <c r="O85" s="571">
        <f t="shared" si="7"/>
        <v>0</v>
      </c>
    </row>
    <row r="86" spans="1:15" s="533" customFormat="1" ht="34.5" customHeight="1">
      <c r="A86" s="1076" t="s">
        <v>190</v>
      </c>
      <c r="B86" s="1077"/>
      <c r="C86" s="1077"/>
      <c r="D86" s="1078"/>
      <c r="E86" s="729"/>
      <c r="F86" s="730"/>
      <c r="G86" s="730"/>
      <c r="H86" s="731"/>
      <c r="I86" s="732">
        <f>SUM(I73:I85)</f>
        <v>612169</v>
      </c>
      <c r="J86" s="732"/>
      <c r="K86" s="735"/>
      <c r="L86" s="732"/>
      <c r="M86" s="732"/>
      <c r="N86" s="732">
        <f>SUM(N73:N85)</f>
        <v>750</v>
      </c>
      <c r="O86" s="732">
        <f t="shared" si="7"/>
        <v>5250</v>
      </c>
    </row>
    <row r="87" spans="1:15" s="533" customFormat="1" ht="56.25">
      <c r="A87" s="760" t="s">
        <v>13</v>
      </c>
      <c r="B87" s="760" t="s">
        <v>14</v>
      </c>
      <c r="C87" s="761" t="s">
        <v>15</v>
      </c>
      <c r="D87" s="790" t="s">
        <v>16</v>
      </c>
      <c r="E87" s="529" t="s">
        <v>17</v>
      </c>
      <c r="F87" s="569" t="s">
        <v>18</v>
      </c>
      <c r="G87" s="569" t="s">
        <v>330</v>
      </c>
      <c r="H87" s="563" t="s">
        <v>575</v>
      </c>
      <c r="I87" s="570" t="s">
        <v>774</v>
      </c>
      <c r="J87" s="684" t="s">
        <v>19</v>
      </c>
      <c r="K87" s="563" t="s">
        <v>3</v>
      </c>
      <c r="L87" s="569" t="s">
        <v>21</v>
      </c>
      <c r="M87" s="569" t="s">
        <v>22</v>
      </c>
      <c r="N87" s="700" t="s">
        <v>1058</v>
      </c>
      <c r="O87" s="700" t="s">
        <v>1058</v>
      </c>
    </row>
    <row r="88" spans="1:15" ht="30.75" customHeight="1">
      <c r="A88" s="1073" t="s">
        <v>53</v>
      </c>
      <c r="B88" s="1073" t="s">
        <v>903</v>
      </c>
      <c r="C88" s="1073" t="s">
        <v>802</v>
      </c>
      <c r="D88" s="750" t="s">
        <v>701</v>
      </c>
      <c r="E88" s="524" t="s">
        <v>481</v>
      </c>
      <c r="F88" s="499">
        <v>40</v>
      </c>
      <c r="G88" s="524"/>
      <c r="H88" s="524"/>
      <c r="I88" s="506"/>
      <c r="J88" s="687"/>
      <c r="K88" s="480"/>
      <c r="L88" s="486"/>
      <c r="M88" s="699"/>
      <c r="N88" s="702"/>
      <c r="O88" s="571">
        <f t="shared" si="7"/>
        <v>0</v>
      </c>
    </row>
    <row r="89" spans="1:15" ht="18" customHeight="1">
      <c r="A89" s="1074"/>
      <c r="B89" s="1074"/>
      <c r="C89" s="1074"/>
      <c r="D89" s="798" t="s">
        <v>316</v>
      </c>
      <c r="E89" s="497" t="s">
        <v>28</v>
      </c>
      <c r="F89" s="502">
        <v>1</v>
      </c>
      <c r="G89" s="497"/>
      <c r="H89" s="456">
        <v>12000</v>
      </c>
      <c r="I89" s="506">
        <f>F89*9*12000</f>
        <v>108000</v>
      </c>
      <c r="J89" s="687" t="s">
        <v>42</v>
      </c>
      <c r="K89" s="480" t="s">
        <v>39</v>
      </c>
      <c r="L89" s="486"/>
      <c r="M89" s="486" t="s">
        <v>482</v>
      </c>
      <c r="N89" s="702">
        <v>0</v>
      </c>
      <c r="O89" s="571">
        <f t="shared" si="7"/>
        <v>0</v>
      </c>
    </row>
    <row r="90" spans="1:15" ht="18" customHeight="1">
      <c r="A90" s="1074"/>
      <c r="B90" s="1074"/>
      <c r="C90" s="1074"/>
      <c r="D90" s="798" t="s">
        <v>671</v>
      </c>
      <c r="E90" s="497" t="s">
        <v>28</v>
      </c>
      <c r="F90" s="502">
        <v>1</v>
      </c>
      <c r="G90" s="497"/>
      <c r="H90" s="456">
        <v>8000</v>
      </c>
      <c r="I90" s="506">
        <f>F90*12*8000</f>
        <v>96000</v>
      </c>
      <c r="J90" s="690" t="s">
        <v>38</v>
      </c>
      <c r="K90" s="480" t="s">
        <v>39</v>
      </c>
      <c r="L90" s="486" t="s">
        <v>40</v>
      </c>
      <c r="M90" s="480" t="s">
        <v>43</v>
      </c>
      <c r="N90" s="702">
        <v>0</v>
      </c>
      <c r="O90" s="571">
        <f t="shared" si="7"/>
        <v>0</v>
      </c>
    </row>
    <row r="91" spans="1:15" ht="18" customHeight="1">
      <c r="A91" s="1074"/>
      <c r="B91" s="1074"/>
      <c r="C91" s="1074"/>
      <c r="D91" s="750" t="s">
        <v>490</v>
      </c>
      <c r="E91" s="524" t="s">
        <v>481</v>
      </c>
      <c r="F91" s="500">
        <v>66</v>
      </c>
      <c r="G91" s="497"/>
      <c r="H91" s="497"/>
      <c r="I91" s="506"/>
      <c r="J91" s="690" t="s">
        <v>488</v>
      </c>
      <c r="K91" s="480" t="s">
        <v>39</v>
      </c>
      <c r="L91" s="486" t="s">
        <v>40</v>
      </c>
      <c r="M91" s="480" t="s">
        <v>43</v>
      </c>
      <c r="N91" s="703"/>
      <c r="O91" s="571">
        <f t="shared" si="7"/>
        <v>0</v>
      </c>
    </row>
    <row r="92" spans="1:15" ht="18" customHeight="1">
      <c r="A92" s="1074"/>
      <c r="B92" s="1074"/>
      <c r="C92" s="1074"/>
      <c r="D92" s="798" t="s">
        <v>491</v>
      </c>
      <c r="E92" s="497" t="s">
        <v>54</v>
      </c>
      <c r="F92" s="502">
        <v>76000</v>
      </c>
      <c r="G92" s="456">
        <v>500</v>
      </c>
      <c r="H92" s="456">
        <v>400</v>
      </c>
      <c r="I92" s="506">
        <f>F92/G92*H92</f>
        <v>60800</v>
      </c>
      <c r="J92" s="690" t="s">
        <v>713</v>
      </c>
      <c r="K92" s="480" t="s">
        <v>714</v>
      </c>
      <c r="L92" s="486" t="s">
        <v>40</v>
      </c>
      <c r="M92" s="480" t="s">
        <v>43</v>
      </c>
      <c r="N92" s="703">
        <f>I92/400</f>
        <v>152</v>
      </c>
      <c r="O92" s="571">
        <f t="shared" si="7"/>
        <v>1064</v>
      </c>
    </row>
    <row r="93" spans="1:15" ht="26.25" customHeight="1">
      <c r="A93" s="1074"/>
      <c r="B93" s="1074"/>
      <c r="C93" s="1074"/>
      <c r="D93" s="798" t="s">
        <v>492</v>
      </c>
      <c r="E93" s="497" t="s">
        <v>54</v>
      </c>
      <c r="F93" s="502">
        <v>76000</v>
      </c>
      <c r="G93" s="456">
        <v>300</v>
      </c>
      <c r="H93" s="456">
        <v>400</v>
      </c>
      <c r="I93" s="506">
        <f>F93/G93*H93</f>
        <v>101333.33333333334</v>
      </c>
      <c r="J93" s="690" t="s">
        <v>713</v>
      </c>
      <c r="K93" s="480" t="s">
        <v>714</v>
      </c>
      <c r="L93" s="486" t="s">
        <v>40</v>
      </c>
      <c r="M93" s="480" t="s">
        <v>43</v>
      </c>
      <c r="N93" s="703">
        <f>I93/400</f>
        <v>253.33333333333337</v>
      </c>
      <c r="O93" s="571">
        <f t="shared" si="7"/>
        <v>1773.3333333333335</v>
      </c>
    </row>
    <row r="94" spans="1:15" ht="18" customHeight="1">
      <c r="A94" s="1074"/>
      <c r="B94" s="1074"/>
      <c r="C94" s="1074"/>
      <c r="D94" s="798" t="s">
        <v>715</v>
      </c>
      <c r="E94" s="497" t="s">
        <v>25</v>
      </c>
      <c r="F94" s="502">
        <v>66000</v>
      </c>
      <c r="G94" s="456">
        <v>100</v>
      </c>
      <c r="H94" s="456">
        <v>400</v>
      </c>
      <c r="I94" s="712">
        <f>F94/G94*H94</f>
        <v>264000</v>
      </c>
      <c r="J94" s="690" t="s">
        <v>710</v>
      </c>
      <c r="K94" s="480" t="s">
        <v>586</v>
      </c>
      <c r="L94" s="486" t="s">
        <v>40</v>
      </c>
      <c r="M94" s="480" t="s">
        <v>43</v>
      </c>
      <c r="N94" s="703">
        <f>I94/400</f>
        <v>660</v>
      </c>
      <c r="O94" s="571">
        <f t="shared" si="7"/>
        <v>4620</v>
      </c>
    </row>
    <row r="95" spans="1:15" ht="41.25" customHeight="1">
      <c r="A95" s="1074"/>
      <c r="B95" s="1074"/>
      <c r="C95" s="1074"/>
      <c r="D95" s="798" t="s">
        <v>716</v>
      </c>
      <c r="E95" s="497" t="s">
        <v>45</v>
      </c>
      <c r="F95" s="502">
        <v>1</v>
      </c>
      <c r="G95" s="497"/>
      <c r="H95" s="456">
        <v>100000</v>
      </c>
      <c r="I95" s="506">
        <f>F95*H95</f>
        <v>100000</v>
      </c>
      <c r="J95" s="690" t="s">
        <v>717</v>
      </c>
      <c r="K95" s="480" t="s">
        <v>698</v>
      </c>
      <c r="L95" s="486" t="s">
        <v>40</v>
      </c>
      <c r="M95" s="480" t="s">
        <v>43</v>
      </c>
      <c r="N95" s="703">
        <v>0</v>
      </c>
      <c r="O95" s="571">
        <f t="shared" si="7"/>
        <v>0</v>
      </c>
    </row>
    <row r="96" spans="1:15" ht="18" customHeight="1">
      <c r="A96" s="1074"/>
      <c r="B96" s="1074"/>
      <c r="C96" s="1074"/>
      <c r="D96" s="798" t="s">
        <v>493</v>
      </c>
      <c r="E96" s="497" t="s">
        <v>36</v>
      </c>
      <c r="F96" s="502">
        <v>66000</v>
      </c>
      <c r="G96" s="456">
        <v>80</v>
      </c>
      <c r="H96" s="456">
        <v>400</v>
      </c>
      <c r="I96" s="506">
        <f>F96/80*400</f>
        <v>330000</v>
      </c>
      <c r="J96" s="690" t="s">
        <v>710</v>
      </c>
      <c r="K96" s="480" t="s">
        <v>586</v>
      </c>
      <c r="L96" s="486" t="s">
        <v>40</v>
      </c>
      <c r="M96" s="480" t="s">
        <v>43</v>
      </c>
      <c r="N96" s="703">
        <f>I96/400</f>
        <v>825</v>
      </c>
      <c r="O96" s="571">
        <f t="shared" si="7"/>
        <v>5775</v>
      </c>
    </row>
    <row r="97" spans="1:15" ht="18" customHeight="1">
      <c r="A97" s="1074"/>
      <c r="B97" s="1074"/>
      <c r="C97" s="1074"/>
      <c r="D97" s="798" t="s">
        <v>494</v>
      </c>
      <c r="E97" s="497" t="s">
        <v>25</v>
      </c>
      <c r="F97" s="502">
        <v>66000</v>
      </c>
      <c r="G97" s="456">
        <v>80</v>
      </c>
      <c r="H97" s="456">
        <v>400</v>
      </c>
      <c r="I97" s="712">
        <f>F97/80*400</f>
        <v>330000</v>
      </c>
      <c r="J97" s="690" t="s">
        <v>710</v>
      </c>
      <c r="K97" s="480" t="s">
        <v>586</v>
      </c>
      <c r="L97" s="486" t="s">
        <v>40</v>
      </c>
      <c r="M97" s="480" t="s">
        <v>43</v>
      </c>
      <c r="N97" s="703">
        <f>I97/400</f>
        <v>825</v>
      </c>
      <c r="O97" s="571">
        <f t="shared" si="7"/>
        <v>5775</v>
      </c>
    </row>
    <row r="98" spans="1:15" ht="18" customHeight="1">
      <c r="A98" s="1074"/>
      <c r="B98" s="1074"/>
      <c r="C98" s="1074"/>
      <c r="D98" s="798" t="s">
        <v>718</v>
      </c>
      <c r="E98" s="497" t="s">
        <v>26</v>
      </c>
      <c r="F98" s="502">
        <f>66000*20</f>
        <v>1320000</v>
      </c>
      <c r="G98" s="497"/>
      <c r="H98" s="504">
        <v>0.2</v>
      </c>
      <c r="I98" s="506">
        <f>F98*0.2</f>
        <v>264000</v>
      </c>
      <c r="J98" s="690" t="s">
        <v>710</v>
      </c>
      <c r="K98" s="480" t="s">
        <v>719</v>
      </c>
      <c r="L98" s="486" t="s">
        <v>40</v>
      </c>
      <c r="M98" s="480" t="s">
        <v>43</v>
      </c>
      <c r="N98" s="703">
        <v>0</v>
      </c>
      <c r="O98" s="571">
        <f t="shared" si="7"/>
        <v>0</v>
      </c>
    </row>
    <row r="99" spans="1:15" ht="18" customHeight="1">
      <c r="A99" s="1074"/>
      <c r="B99" s="1074"/>
      <c r="C99" s="1074"/>
      <c r="D99" s="798" t="s">
        <v>720</v>
      </c>
      <c r="E99" s="497" t="s">
        <v>25</v>
      </c>
      <c r="F99" s="502">
        <v>66000</v>
      </c>
      <c r="G99" s="456">
        <v>50</v>
      </c>
      <c r="H99" s="456">
        <v>400</v>
      </c>
      <c r="I99" s="506">
        <f>F99/G99*H99</f>
        <v>528000</v>
      </c>
      <c r="J99" s="690" t="s">
        <v>710</v>
      </c>
      <c r="K99" s="480" t="s">
        <v>719</v>
      </c>
      <c r="L99" s="486" t="s">
        <v>40</v>
      </c>
      <c r="M99" s="480" t="s">
        <v>43</v>
      </c>
      <c r="N99" s="703">
        <f>I99/400</f>
        <v>1320</v>
      </c>
      <c r="O99" s="571">
        <f t="shared" si="7"/>
        <v>9240</v>
      </c>
    </row>
    <row r="100" spans="1:15" ht="55.5" customHeight="1">
      <c r="A100" s="1074"/>
      <c r="B100" s="1074"/>
      <c r="C100" s="1074"/>
      <c r="D100" s="750" t="s">
        <v>721</v>
      </c>
      <c r="E100" s="524" t="s">
        <v>707</v>
      </c>
      <c r="F100" s="502">
        <v>40000</v>
      </c>
      <c r="G100" s="456">
        <v>100</v>
      </c>
      <c r="H100" s="456">
        <v>400</v>
      </c>
      <c r="I100" s="506">
        <f>F100/100*400</f>
        <v>160000</v>
      </c>
      <c r="J100" s="690" t="s">
        <v>722</v>
      </c>
      <c r="K100" s="480" t="s">
        <v>714</v>
      </c>
      <c r="L100" s="486" t="s">
        <v>40</v>
      </c>
      <c r="M100" s="480" t="s">
        <v>43</v>
      </c>
      <c r="N100" s="703">
        <f>I100/400</f>
        <v>400</v>
      </c>
      <c r="O100" s="571">
        <f t="shared" si="7"/>
        <v>2800</v>
      </c>
    </row>
    <row r="101" spans="1:15" ht="18" customHeight="1">
      <c r="A101" s="1074"/>
      <c r="B101" s="1074"/>
      <c r="C101" s="1074"/>
      <c r="D101" s="798" t="s">
        <v>723</v>
      </c>
      <c r="E101" s="497" t="s">
        <v>336</v>
      </c>
      <c r="F101" s="502">
        <v>15</v>
      </c>
      <c r="G101" s="497"/>
      <c r="H101" s="456">
        <v>500</v>
      </c>
      <c r="I101" s="506">
        <f>F101*500</f>
        <v>7500</v>
      </c>
      <c r="J101" s="690" t="s">
        <v>38</v>
      </c>
      <c r="K101" s="480" t="s">
        <v>724</v>
      </c>
      <c r="L101" s="486" t="s">
        <v>40</v>
      </c>
      <c r="M101" s="480" t="s">
        <v>43</v>
      </c>
      <c r="N101" s="703">
        <v>0</v>
      </c>
      <c r="O101" s="571">
        <f t="shared" si="7"/>
        <v>0</v>
      </c>
    </row>
    <row r="102" spans="1:15" ht="18" customHeight="1">
      <c r="A102" s="1074"/>
      <c r="B102" s="1074"/>
      <c r="C102" s="1074"/>
      <c r="D102" s="798" t="s">
        <v>725</v>
      </c>
      <c r="E102" s="497" t="s">
        <v>707</v>
      </c>
      <c r="F102" s="502">
        <v>20000</v>
      </c>
      <c r="G102" s="456">
        <v>4000</v>
      </c>
      <c r="H102" s="456">
        <v>400</v>
      </c>
      <c r="I102" s="506">
        <f>F102/4000*400</f>
        <v>2000</v>
      </c>
      <c r="J102" s="690" t="s">
        <v>714</v>
      </c>
      <c r="K102" s="480" t="s">
        <v>699</v>
      </c>
      <c r="L102" s="486" t="s">
        <v>40</v>
      </c>
      <c r="M102" s="480" t="s">
        <v>43</v>
      </c>
      <c r="N102" s="703">
        <f>I102/400</f>
        <v>5</v>
      </c>
      <c r="O102" s="571">
        <f t="shared" si="7"/>
        <v>35</v>
      </c>
    </row>
    <row r="103" spans="1:15" ht="18" customHeight="1">
      <c r="A103" s="1074"/>
      <c r="B103" s="1074"/>
      <c r="C103" s="1074"/>
      <c r="D103" s="798" t="s">
        <v>726</v>
      </c>
      <c r="E103" s="497" t="s">
        <v>27</v>
      </c>
      <c r="F103" s="502">
        <v>200</v>
      </c>
      <c r="G103" s="456"/>
      <c r="H103" s="456">
        <v>80</v>
      </c>
      <c r="I103" s="506">
        <f>F103*80</f>
        <v>16000</v>
      </c>
      <c r="J103" s="690" t="s">
        <v>714</v>
      </c>
      <c r="K103" s="480" t="s">
        <v>699</v>
      </c>
      <c r="L103" s="486" t="s">
        <v>40</v>
      </c>
      <c r="M103" s="480" t="s">
        <v>43</v>
      </c>
      <c r="N103" s="703">
        <v>0</v>
      </c>
      <c r="O103" s="571">
        <f t="shared" si="7"/>
        <v>0</v>
      </c>
    </row>
    <row r="104" spans="1:15" ht="18" customHeight="1">
      <c r="A104" s="1074"/>
      <c r="B104" s="1074"/>
      <c r="C104" s="1074"/>
      <c r="D104" s="548" t="s">
        <v>727</v>
      </c>
      <c r="E104" s="505" t="s">
        <v>707</v>
      </c>
      <c r="F104" s="502">
        <v>20000</v>
      </c>
      <c r="G104" s="456">
        <v>100</v>
      </c>
      <c r="H104" s="505">
        <v>400</v>
      </c>
      <c r="I104" s="506">
        <f>F104/100*400</f>
        <v>80000</v>
      </c>
      <c r="J104" s="691" t="s">
        <v>728</v>
      </c>
      <c r="K104" s="477" t="s">
        <v>712</v>
      </c>
      <c r="L104" s="486" t="s">
        <v>40</v>
      </c>
      <c r="M104" s="480" t="s">
        <v>43</v>
      </c>
      <c r="N104" s="702">
        <f>I104/400</f>
        <v>200</v>
      </c>
      <c r="O104" s="571">
        <f t="shared" si="7"/>
        <v>1400</v>
      </c>
    </row>
    <row r="105" spans="1:15" ht="18" customHeight="1">
      <c r="A105" s="1074"/>
      <c r="B105" s="1074"/>
      <c r="C105" s="1074"/>
      <c r="D105" s="549" t="s">
        <v>729</v>
      </c>
      <c r="E105" s="505" t="s">
        <v>28</v>
      </c>
      <c r="F105" s="457">
        <v>1</v>
      </c>
      <c r="G105" s="456"/>
      <c r="H105" s="505">
        <v>9000</v>
      </c>
      <c r="I105" s="506">
        <f>F105*8*9000</f>
        <v>72000</v>
      </c>
      <c r="J105" s="691" t="s">
        <v>730</v>
      </c>
      <c r="K105" s="477" t="s">
        <v>731</v>
      </c>
      <c r="L105" s="486" t="s">
        <v>40</v>
      </c>
      <c r="M105" s="480" t="s">
        <v>43</v>
      </c>
      <c r="N105" s="702">
        <v>0</v>
      </c>
      <c r="O105" s="571">
        <f t="shared" si="7"/>
        <v>0</v>
      </c>
    </row>
    <row r="106" spans="1:15" ht="18" customHeight="1">
      <c r="A106" s="1074"/>
      <c r="B106" s="1074"/>
      <c r="C106" s="1074"/>
      <c r="D106" s="550" t="s">
        <v>709</v>
      </c>
      <c r="E106" s="528" t="s">
        <v>481</v>
      </c>
      <c r="F106" s="323">
        <v>10</v>
      </c>
      <c r="G106" s="505"/>
      <c r="H106" s="505"/>
      <c r="I106" s="506"/>
      <c r="J106" s="691"/>
      <c r="K106" s="477"/>
      <c r="L106" s="486"/>
      <c r="M106" s="480"/>
      <c r="N106" s="702"/>
      <c r="O106" s="571">
        <f t="shared" si="7"/>
        <v>0</v>
      </c>
    </row>
    <row r="107" spans="1:15" ht="18" customHeight="1">
      <c r="A107" s="1074"/>
      <c r="B107" s="1074"/>
      <c r="C107" s="1074"/>
      <c r="D107" s="798" t="s">
        <v>901</v>
      </c>
      <c r="E107" s="497" t="s">
        <v>36</v>
      </c>
      <c r="F107" s="502">
        <v>50000</v>
      </c>
      <c r="G107" s="456">
        <v>125</v>
      </c>
      <c r="H107" s="456">
        <v>400</v>
      </c>
      <c r="I107" s="506">
        <f>F107/125*400</f>
        <v>160000</v>
      </c>
      <c r="J107" s="689" t="s">
        <v>902</v>
      </c>
      <c r="K107" s="485" t="s">
        <v>586</v>
      </c>
      <c r="L107" s="585" t="s">
        <v>40</v>
      </c>
      <c r="M107" s="485" t="s">
        <v>43</v>
      </c>
      <c r="N107" s="703">
        <f t="shared" ref="N107:N108" si="10">I107/400</f>
        <v>400</v>
      </c>
      <c r="O107" s="571">
        <f t="shared" si="7"/>
        <v>2800</v>
      </c>
    </row>
    <row r="108" spans="1:15" ht="18" customHeight="1">
      <c r="A108" s="1074"/>
      <c r="B108" s="1074"/>
      <c r="C108" s="1074"/>
      <c r="D108" s="798" t="s">
        <v>487</v>
      </c>
      <c r="E108" s="497" t="s">
        <v>48</v>
      </c>
      <c r="F108" s="502">
        <v>50000</v>
      </c>
      <c r="G108" s="456">
        <v>250</v>
      </c>
      <c r="H108" s="456">
        <v>400</v>
      </c>
      <c r="I108" s="506">
        <f>F108/250*400</f>
        <v>80000</v>
      </c>
      <c r="J108" s="687" t="s">
        <v>710</v>
      </c>
      <c r="K108" s="480" t="s">
        <v>39</v>
      </c>
      <c r="L108" s="486" t="s">
        <v>40</v>
      </c>
      <c r="M108" s="483"/>
      <c r="N108" s="702">
        <f t="shared" si="10"/>
        <v>200</v>
      </c>
      <c r="O108" s="571">
        <f t="shared" si="7"/>
        <v>1400</v>
      </c>
    </row>
    <row r="109" spans="1:15" ht="18" customHeight="1">
      <c r="A109" s="1074"/>
      <c r="B109" s="1074"/>
      <c r="C109" s="1074"/>
      <c r="D109" s="798" t="s">
        <v>49</v>
      </c>
      <c r="E109" s="497" t="s">
        <v>27</v>
      </c>
      <c r="F109" s="498">
        <v>15</v>
      </c>
      <c r="G109" s="497"/>
      <c r="H109" s="456">
        <v>4000</v>
      </c>
      <c r="I109" s="506">
        <f>F109*4000</f>
        <v>60000</v>
      </c>
      <c r="J109" s="687" t="s">
        <v>711</v>
      </c>
      <c r="K109" s="480" t="s">
        <v>712</v>
      </c>
      <c r="L109" s="486" t="s">
        <v>40</v>
      </c>
      <c r="M109" s="483"/>
      <c r="N109" s="702">
        <v>0</v>
      </c>
      <c r="O109" s="571">
        <f t="shared" si="7"/>
        <v>0</v>
      </c>
    </row>
    <row r="110" spans="1:15" ht="18" customHeight="1">
      <c r="A110" s="1074"/>
      <c r="B110" s="1074"/>
      <c r="C110" s="1074"/>
      <c r="D110" s="798" t="s">
        <v>50</v>
      </c>
      <c r="E110" s="497" t="s">
        <v>51</v>
      </c>
      <c r="F110" s="498">
        <v>12</v>
      </c>
      <c r="G110" s="497"/>
      <c r="H110" s="456">
        <v>300</v>
      </c>
      <c r="I110" s="506">
        <f>F110*300</f>
        <v>3600</v>
      </c>
      <c r="J110" s="687" t="s">
        <v>711</v>
      </c>
      <c r="K110" s="480" t="s">
        <v>712</v>
      </c>
      <c r="L110" s="486" t="s">
        <v>40</v>
      </c>
      <c r="M110" s="483"/>
      <c r="N110" s="702">
        <v>0</v>
      </c>
      <c r="O110" s="571">
        <f t="shared" si="7"/>
        <v>0</v>
      </c>
    </row>
    <row r="111" spans="1:15" ht="18" customHeight="1">
      <c r="A111" s="1074"/>
      <c r="B111" s="1074"/>
      <c r="C111" s="1074"/>
      <c r="D111" s="798" t="s">
        <v>52</v>
      </c>
      <c r="E111" s="497" t="s">
        <v>26</v>
      </c>
      <c r="F111" s="498">
        <v>50000</v>
      </c>
      <c r="G111" s="497"/>
      <c r="H111" s="504">
        <v>0.2</v>
      </c>
      <c r="I111" s="506">
        <f>F111*0.2</f>
        <v>10000</v>
      </c>
      <c r="J111" s="687" t="s">
        <v>710</v>
      </c>
      <c r="K111" s="480" t="s">
        <v>586</v>
      </c>
      <c r="L111" s="486" t="s">
        <v>40</v>
      </c>
      <c r="M111" s="483"/>
      <c r="N111" s="702">
        <v>0</v>
      </c>
      <c r="O111" s="571">
        <f t="shared" si="7"/>
        <v>0</v>
      </c>
    </row>
    <row r="112" spans="1:15" ht="18" customHeight="1">
      <c r="A112" s="1074"/>
      <c r="B112" s="1074"/>
      <c r="C112" s="1074"/>
      <c r="D112" s="798" t="s">
        <v>732</v>
      </c>
      <c r="E112" s="497" t="s">
        <v>26</v>
      </c>
      <c r="F112" s="498">
        <v>200</v>
      </c>
      <c r="G112" s="497"/>
      <c r="H112" s="456">
        <v>50</v>
      </c>
      <c r="I112" s="506">
        <f>F112*50</f>
        <v>10000</v>
      </c>
      <c r="J112" s="690" t="s">
        <v>488</v>
      </c>
      <c r="K112" s="480" t="s">
        <v>39</v>
      </c>
      <c r="L112" s="486" t="s">
        <v>40</v>
      </c>
      <c r="M112" s="483"/>
      <c r="N112" s="702">
        <v>0</v>
      </c>
      <c r="O112" s="571">
        <f t="shared" si="7"/>
        <v>0</v>
      </c>
    </row>
    <row r="113" spans="1:15" ht="18" customHeight="1">
      <c r="A113" s="1075"/>
      <c r="B113" s="1075"/>
      <c r="C113" s="1075"/>
      <c r="D113" s="798" t="s">
        <v>896</v>
      </c>
      <c r="E113" s="497"/>
      <c r="F113" s="498">
        <v>1</v>
      </c>
      <c r="G113" s="497"/>
      <c r="H113" s="456">
        <v>18569</v>
      </c>
      <c r="I113" s="712">
        <f>F113*H113</f>
        <v>18569</v>
      </c>
      <c r="J113" s="690" t="s">
        <v>488</v>
      </c>
      <c r="K113" s="480" t="s">
        <v>39</v>
      </c>
      <c r="L113" s="486" t="s">
        <v>40</v>
      </c>
      <c r="M113" s="483"/>
      <c r="N113" s="702">
        <v>0</v>
      </c>
      <c r="O113" s="571">
        <f t="shared" si="7"/>
        <v>0</v>
      </c>
    </row>
    <row r="114" spans="1:15" s="533" customFormat="1" ht="34.5" customHeight="1">
      <c r="A114" s="1076" t="s">
        <v>190</v>
      </c>
      <c r="B114" s="1077"/>
      <c r="C114" s="1077"/>
      <c r="D114" s="1078"/>
      <c r="E114" s="729"/>
      <c r="F114" s="730"/>
      <c r="G114" s="730"/>
      <c r="H114" s="731"/>
      <c r="I114" s="732">
        <f>SUM(I88:I113)</f>
        <v>2861802.3333333335</v>
      </c>
      <c r="J114" s="732"/>
      <c r="K114" s="735"/>
      <c r="L114" s="732"/>
      <c r="M114" s="732"/>
      <c r="N114" s="732">
        <f>SUM(N88:N113)</f>
        <v>5240.3333333333339</v>
      </c>
      <c r="O114" s="732">
        <f t="shared" si="7"/>
        <v>36682.333333333336</v>
      </c>
    </row>
    <row r="115" spans="1:15" s="533" customFormat="1" ht="44.25" customHeight="1">
      <c r="A115" s="760" t="s">
        <v>13</v>
      </c>
      <c r="B115" s="760" t="s">
        <v>14</v>
      </c>
      <c r="C115" s="761" t="s">
        <v>15</v>
      </c>
      <c r="D115" s="790" t="s">
        <v>16</v>
      </c>
      <c r="E115" s="529" t="s">
        <v>17</v>
      </c>
      <c r="F115" s="569" t="s">
        <v>18</v>
      </c>
      <c r="G115" s="569" t="s">
        <v>330</v>
      </c>
      <c r="H115" s="563" t="s">
        <v>575</v>
      </c>
      <c r="I115" s="570" t="s">
        <v>774</v>
      </c>
      <c r="J115" s="684" t="s">
        <v>19</v>
      </c>
      <c r="K115" s="563" t="s">
        <v>3</v>
      </c>
      <c r="L115" s="569" t="s">
        <v>21</v>
      </c>
      <c r="M115" s="569" t="s">
        <v>22</v>
      </c>
      <c r="N115" s="700" t="s">
        <v>1058</v>
      </c>
      <c r="O115" s="700" t="s">
        <v>1058</v>
      </c>
    </row>
    <row r="116" spans="1:15" ht="21" customHeight="1">
      <c r="A116" s="1073" t="s">
        <v>56</v>
      </c>
      <c r="B116" s="1073" t="s">
        <v>495</v>
      </c>
      <c r="C116" s="1073" t="s">
        <v>803</v>
      </c>
      <c r="D116" s="798" t="s">
        <v>489</v>
      </c>
      <c r="E116" s="497" t="s">
        <v>44</v>
      </c>
      <c r="F116" s="498">
        <v>1</v>
      </c>
      <c r="G116" s="497"/>
      <c r="H116" s="456">
        <v>10000</v>
      </c>
      <c r="I116" s="506">
        <f>F116*10000</f>
        <v>10000</v>
      </c>
      <c r="J116" s="687" t="s">
        <v>38</v>
      </c>
      <c r="K116" s="480" t="s">
        <v>698</v>
      </c>
      <c r="L116" s="486" t="s">
        <v>40</v>
      </c>
      <c r="M116" s="484"/>
      <c r="N116" s="702"/>
      <c r="O116" s="571">
        <f t="shared" si="7"/>
        <v>0</v>
      </c>
    </row>
    <row r="117" spans="1:15" ht="21" customHeight="1">
      <c r="A117" s="1074"/>
      <c r="B117" s="1074"/>
      <c r="C117" s="1074"/>
      <c r="D117" s="749" t="s">
        <v>897</v>
      </c>
      <c r="E117" s="497" t="s">
        <v>28</v>
      </c>
      <c r="F117" s="498">
        <v>20</v>
      </c>
      <c r="G117" s="497"/>
      <c r="H117" s="456">
        <v>3000</v>
      </c>
      <c r="I117" s="506">
        <f>F117*3000</f>
        <v>60000</v>
      </c>
      <c r="J117" s="687" t="s">
        <v>699</v>
      </c>
      <c r="K117" s="480" t="s">
        <v>700</v>
      </c>
      <c r="L117" s="486" t="s">
        <v>40</v>
      </c>
      <c r="M117" s="484"/>
      <c r="N117" s="702">
        <v>0</v>
      </c>
      <c r="O117" s="571">
        <f t="shared" si="7"/>
        <v>0</v>
      </c>
    </row>
    <row r="118" spans="1:15" ht="30" customHeight="1">
      <c r="A118" s="1074"/>
      <c r="B118" s="1074"/>
      <c r="C118" s="1074"/>
      <c r="D118" s="750" t="s">
        <v>701</v>
      </c>
      <c r="E118" s="524" t="s">
        <v>481</v>
      </c>
      <c r="F118" s="499">
        <v>40</v>
      </c>
      <c r="G118" s="497"/>
      <c r="H118" s="456"/>
      <c r="I118" s="506"/>
      <c r="J118" s="687" t="s">
        <v>484</v>
      </c>
      <c r="K118" s="482" t="s">
        <v>485</v>
      </c>
      <c r="L118" s="486" t="s">
        <v>40</v>
      </c>
      <c r="M118" s="480" t="s">
        <v>43</v>
      </c>
      <c r="N118" s="702"/>
      <c r="O118" s="571">
        <f t="shared" si="7"/>
        <v>0</v>
      </c>
    </row>
    <row r="119" spans="1:15" ht="21" customHeight="1">
      <c r="A119" s="1074"/>
      <c r="B119" s="1074"/>
      <c r="C119" s="1074"/>
      <c r="D119" s="750" t="s">
        <v>733</v>
      </c>
      <c r="E119" s="524" t="s">
        <v>481</v>
      </c>
      <c r="F119" s="499">
        <v>100</v>
      </c>
      <c r="G119" s="524"/>
      <c r="H119" s="501"/>
      <c r="I119" s="506"/>
      <c r="J119" s="687" t="s">
        <v>484</v>
      </c>
      <c r="K119" s="482" t="s">
        <v>485</v>
      </c>
      <c r="L119" s="486" t="s">
        <v>40</v>
      </c>
      <c r="M119" s="480" t="s">
        <v>43</v>
      </c>
      <c r="N119" s="702"/>
      <c r="O119" s="571">
        <f t="shared" si="7"/>
        <v>0</v>
      </c>
    </row>
    <row r="120" spans="1:15" ht="21" customHeight="1">
      <c r="A120" s="1074"/>
      <c r="B120" s="1074"/>
      <c r="C120" s="1074"/>
      <c r="D120" s="798" t="s">
        <v>734</v>
      </c>
      <c r="E120" s="497" t="s">
        <v>336</v>
      </c>
      <c r="F120" s="498">
        <f>F119*5</f>
        <v>500</v>
      </c>
      <c r="G120" s="497"/>
      <c r="H120" s="456">
        <v>200</v>
      </c>
      <c r="I120" s="506">
        <f>F120*200</f>
        <v>100000</v>
      </c>
      <c r="J120" s="688" t="s">
        <v>704</v>
      </c>
      <c r="K120" s="584" t="s">
        <v>705</v>
      </c>
      <c r="L120" s="486" t="s">
        <v>40</v>
      </c>
      <c r="M120" s="480" t="s">
        <v>43</v>
      </c>
      <c r="N120" s="702">
        <v>0</v>
      </c>
      <c r="O120" s="571">
        <f t="shared" si="7"/>
        <v>0</v>
      </c>
    </row>
    <row r="121" spans="1:15" ht="21" customHeight="1">
      <c r="A121" s="1074"/>
      <c r="B121" s="1074"/>
      <c r="C121" s="1074"/>
      <c r="D121" s="798" t="s">
        <v>735</v>
      </c>
      <c r="E121" s="497" t="s">
        <v>707</v>
      </c>
      <c r="F121" s="498">
        <f>100*10000</f>
        <v>1000000</v>
      </c>
      <c r="G121" s="456">
        <v>4000</v>
      </c>
      <c r="H121" s="456">
        <v>400</v>
      </c>
      <c r="I121" s="506">
        <f>F121/4000*400</f>
        <v>100000</v>
      </c>
      <c r="J121" s="688" t="s">
        <v>708</v>
      </c>
      <c r="K121" s="584" t="s">
        <v>705</v>
      </c>
      <c r="L121" s="486" t="s">
        <v>40</v>
      </c>
      <c r="M121" s="480" t="s">
        <v>43</v>
      </c>
      <c r="N121" s="702">
        <f>I121/400</f>
        <v>250</v>
      </c>
      <c r="O121" s="571">
        <f t="shared" si="7"/>
        <v>1750</v>
      </c>
    </row>
    <row r="122" spans="1:15" ht="21" customHeight="1">
      <c r="A122" s="1074"/>
      <c r="B122" s="1074"/>
      <c r="C122" s="1074"/>
      <c r="D122" s="750" t="s">
        <v>709</v>
      </c>
      <c r="E122" s="524" t="s">
        <v>481</v>
      </c>
      <c r="F122" s="499">
        <v>10</v>
      </c>
      <c r="G122" s="497"/>
      <c r="H122" s="456"/>
      <c r="I122" s="506"/>
      <c r="J122" s="687"/>
      <c r="K122" s="482"/>
      <c r="L122" s="486" t="s">
        <v>40</v>
      </c>
      <c r="M122" s="480" t="s">
        <v>43</v>
      </c>
      <c r="N122" s="702"/>
      <c r="O122" s="571">
        <f t="shared" si="7"/>
        <v>0</v>
      </c>
    </row>
    <row r="123" spans="1:15" ht="21" customHeight="1">
      <c r="A123" s="1074"/>
      <c r="B123" s="1074"/>
      <c r="C123" s="1074"/>
      <c r="D123" s="798" t="s">
        <v>899</v>
      </c>
      <c r="E123" s="497" t="s">
        <v>36</v>
      </c>
      <c r="F123" s="498">
        <v>50000</v>
      </c>
      <c r="G123" s="456">
        <v>250</v>
      </c>
      <c r="H123" s="456">
        <v>400</v>
      </c>
      <c r="I123" s="506">
        <f>F123/125*400</f>
        <v>160000</v>
      </c>
      <c r="J123" s="687" t="s">
        <v>902</v>
      </c>
      <c r="K123" s="480" t="s">
        <v>586</v>
      </c>
      <c r="L123" s="486" t="s">
        <v>40</v>
      </c>
      <c r="M123" s="480" t="s">
        <v>43</v>
      </c>
      <c r="N123" s="702">
        <f t="shared" ref="N123:N124" si="11">I123/400</f>
        <v>400</v>
      </c>
      <c r="O123" s="571">
        <f t="shared" si="7"/>
        <v>2800</v>
      </c>
    </row>
    <row r="124" spans="1:15" ht="21" customHeight="1">
      <c r="A124" s="1074"/>
      <c r="B124" s="1074"/>
      <c r="C124" s="1074"/>
      <c r="D124" s="798" t="s">
        <v>498</v>
      </c>
      <c r="E124" s="497" t="s">
        <v>48</v>
      </c>
      <c r="F124" s="498">
        <v>50000</v>
      </c>
      <c r="G124" s="456">
        <v>250</v>
      </c>
      <c r="H124" s="456">
        <v>400</v>
      </c>
      <c r="I124" s="506">
        <f>F124/250*400</f>
        <v>80000</v>
      </c>
      <c r="J124" s="687" t="s">
        <v>710</v>
      </c>
      <c r="K124" s="480" t="s">
        <v>39</v>
      </c>
      <c r="L124" s="486" t="s">
        <v>40</v>
      </c>
      <c r="M124" s="480" t="s">
        <v>43</v>
      </c>
      <c r="N124" s="702">
        <f t="shared" si="11"/>
        <v>200</v>
      </c>
      <c r="O124" s="571">
        <f t="shared" si="7"/>
        <v>1400</v>
      </c>
    </row>
    <row r="125" spans="1:15" ht="21" customHeight="1">
      <c r="A125" s="1074"/>
      <c r="B125" s="1074"/>
      <c r="C125" s="1074"/>
      <c r="D125" s="798" t="s">
        <v>49</v>
      </c>
      <c r="E125" s="497" t="s">
        <v>27</v>
      </c>
      <c r="F125" s="498">
        <v>15</v>
      </c>
      <c r="G125" s="497"/>
      <c r="H125" s="456">
        <v>4000</v>
      </c>
      <c r="I125" s="506">
        <f>F125*4000</f>
        <v>60000</v>
      </c>
      <c r="J125" s="687" t="s">
        <v>711</v>
      </c>
      <c r="K125" s="480" t="s">
        <v>712</v>
      </c>
      <c r="L125" s="486" t="s">
        <v>40</v>
      </c>
      <c r="M125" s="483"/>
      <c r="N125" s="702">
        <v>0</v>
      </c>
      <c r="O125" s="571">
        <f t="shared" si="7"/>
        <v>0</v>
      </c>
    </row>
    <row r="126" spans="1:15" ht="21" customHeight="1">
      <c r="A126" s="1074"/>
      <c r="B126" s="1074"/>
      <c r="C126" s="1074"/>
      <c r="D126" s="798" t="s">
        <v>50</v>
      </c>
      <c r="E126" s="497" t="s">
        <v>51</v>
      </c>
      <c r="F126" s="498">
        <v>12</v>
      </c>
      <c r="G126" s="497"/>
      <c r="H126" s="456">
        <v>300</v>
      </c>
      <c r="I126" s="506">
        <f>F126*H126</f>
        <v>3600</v>
      </c>
      <c r="J126" s="687" t="s">
        <v>711</v>
      </c>
      <c r="K126" s="480" t="s">
        <v>712</v>
      </c>
      <c r="L126" s="486" t="s">
        <v>40</v>
      </c>
      <c r="M126" s="483"/>
      <c r="N126" s="702">
        <v>0</v>
      </c>
      <c r="O126" s="571">
        <f t="shared" si="7"/>
        <v>0</v>
      </c>
    </row>
    <row r="127" spans="1:15" ht="21" customHeight="1">
      <c r="A127" s="1074"/>
      <c r="B127" s="1074"/>
      <c r="C127" s="1074"/>
      <c r="D127" s="798" t="s">
        <v>52</v>
      </c>
      <c r="E127" s="497" t="s">
        <v>26</v>
      </c>
      <c r="F127" s="498">
        <v>50000</v>
      </c>
      <c r="G127" s="497"/>
      <c r="H127" s="504">
        <v>0.2</v>
      </c>
      <c r="I127" s="506">
        <f>F127*0.2</f>
        <v>10000</v>
      </c>
      <c r="J127" s="687" t="s">
        <v>710</v>
      </c>
      <c r="K127" s="480" t="s">
        <v>586</v>
      </c>
      <c r="L127" s="486" t="s">
        <v>40</v>
      </c>
      <c r="M127" s="483"/>
      <c r="N127" s="702">
        <v>0</v>
      </c>
      <c r="O127" s="571">
        <f t="shared" si="7"/>
        <v>0</v>
      </c>
    </row>
    <row r="128" spans="1:15" ht="21" customHeight="1">
      <c r="A128" s="1075"/>
      <c r="B128" s="1075"/>
      <c r="C128" s="1075"/>
      <c r="D128" s="798" t="s">
        <v>896</v>
      </c>
      <c r="E128" s="497"/>
      <c r="F128" s="498">
        <v>1</v>
      </c>
      <c r="G128" s="497"/>
      <c r="H128" s="456">
        <v>18569</v>
      </c>
      <c r="I128" s="712">
        <f>F128*H128</f>
        <v>18569</v>
      </c>
      <c r="J128" s="690" t="s">
        <v>488</v>
      </c>
      <c r="K128" s="480" t="s">
        <v>39</v>
      </c>
      <c r="L128" s="486" t="s">
        <v>40</v>
      </c>
      <c r="M128" s="483"/>
      <c r="N128" s="702">
        <v>0</v>
      </c>
      <c r="O128" s="571">
        <f t="shared" si="7"/>
        <v>0</v>
      </c>
    </row>
    <row r="129" spans="1:15" s="533" customFormat="1" ht="34.5" customHeight="1">
      <c r="A129" s="1076" t="s">
        <v>190</v>
      </c>
      <c r="B129" s="1077"/>
      <c r="C129" s="1077"/>
      <c r="D129" s="1078"/>
      <c r="E129" s="729"/>
      <c r="F129" s="730"/>
      <c r="G129" s="730"/>
      <c r="H129" s="731"/>
      <c r="I129" s="732">
        <f>SUM(I116:I128)</f>
        <v>602169</v>
      </c>
      <c r="J129" s="732"/>
      <c r="K129" s="735"/>
      <c r="L129" s="732"/>
      <c r="M129" s="732"/>
      <c r="N129" s="732">
        <f>SUM(N116:N128)</f>
        <v>850</v>
      </c>
      <c r="O129" s="732">
        <f t="shared" si="7"/>
        <v>5950</v>
      </c>
    </row>
    <row r="130" spans="1:15" s="533" customFormat="1" ht="38.25" customHeight="1">
      <c r="A130" s="760" t="s">
        <v>13</v>
      </c>
      <c r="B130" s="760" t="s">
        <v>14</v>
      </c>
      <c r="C130" s="761" t="s">
        <v>15</v>
      </c>
      <c r="D130" s="790" t="s">
        <v>16</v>
      </c>
      <c r="E130" s="529" t="s">
        <v>17</v>
      </c>
      <c r="F130" s="569" t="s">
        <v>18</v>
      </c>
      <c r="G130" s="569" t="s">
        <v>330</v>
      </c>
      <c r="H130" s="563" t="s">
        <v>575</v>
      </c>
      <c r="I130" s="570" t="s">
        <v>774</v>
      </c>
      <c r="J130" s="684" t="s">
        <v>19</v>
      </c>
      <c r="K130" s="563" t="s">
        <v>3</v>
      </c>
      <c r="L130" s="569" t="s">
        <v>21</v>
      </c>
      <c r="M130" s="569" t="s">
        <v>22</v>
      </c>
      <c r="N130" s="700" t="s">
        <v>1058</v>
      </c>
      <c r="O130" s="700" t="s">
        <v>1058</v>
      </c>
    </row>
    <row r="131" spans="1:15" ht="18" customHeight="1">
      <c r="A131" s="1100" t="s">
        <v>57</v>
      </c>
      <c r="B131" s="1100" t="s">
        <v>877</v>
      </c>
      <c r="C131" s="1100"/>
      <c r="D131" s="798" t="s">
        <v>636</v>
      </c>
      <c r="E131" s="497" t="s">
        <v>28</v>
      </c>
      <c r="F131" s="498">
        <v>1</v>
      </c>
      <c r="G131" s="497"/>
      <c r="H131" s="456">
        <v>8000</v>
      </c>
      <c r="I131" s="506">
        <f>F131*8000*12</f>
        <v>96000</v>
      </c>
      <c r="J131" s="687" t="s">
        <v>38</v>
      </c>
      <c r="K131" s="480" t="s">
        <v>39</v>
      </c>
      <c r="L131" s="486" t="s">
        <v>40</v>
      </c>
      <c r="M131" s="487" t="s">
        <v>43</v>
      </c>
      <c r="N131" s="703">
        <v>0</v>
      </c>
      <c r="O131" s="571">
        <f t="shared" si="7"/>
        <v>0</v>
      </c>
    </row>
    <row r="132" spans="1:15" ht="18" customHeight="1">
      <c r="A132" s="1101"/>
      <c r="B132" s="1101"/>
      <c r="C132" s="1101"/>
      <c r="D132" s="750" t="s">
        <v>490</v>
      </c>
      <c r="E132" s="516" t="s">
        <v>481</v>
      </c>
      <c r="F132" s="517">
        <v>50</v>
      </c>
      <c r="G132" s="497"/>
      <c r="H132" s="497"/>
      <c r="I132" s="506"/>
      <c r="J132" s="690" t="s">
        <v>488</v>
      </c>
      <c r="K132" s="480" t="s">
        <v>39</v>
      </c>
      <c r="L132" s="486" t="s">
        <v>40</v>
      </c>
      <c r="M132" s="480" t="s">
        <v>43</v>
      </c>
      <c r="N132" s="703"/>
      <c r="O132" s="571">
        <f t="shared" si="7"/>
        <v>0</v>
      </c>
    </row>
    <row r="133" spans="1:15" ht="18" customHeight="1">
      <c r="A133" s="1101"/>
      <c r="B133" s="1101"/>
      <c r="C133" s="1101"/>
      <c r="D133" s="798" t="s">
        <v>491</v>
      </c>
      <c r="E133" s="497" t="s">
        <v>54</v>
      </c>
      <c r="F133" s="502">
        <v>60000</v>
      </c>
      <c r="G133" s="456">
        <v>500</v>
      </c>
      <c r="H133" s="456">
        <v>400</v>
      </c>
      <c r="I133" s="506">
        <f>F133/G133*H133</f>
        <v>48000</v>
      </c>
      <c r="J133" s="690" t="s">
        <v>713</v>
      </c>
      <c r="K133" s="480" t="s">
        <v>714</v>
      </c>
      <c r="L133" s="486" t="s">
        <v>40</v>
      </c>
      <c r="M133" s="480" t="s">
        <v>43</v>
      </c>
      <c r="N133" s="703">
        <f>I133/400</f>
        <v>120</v>
      </c>
      <c r="O133" s="571">
        <f t="shared" si="7"/>
        <v>840</v>
      </c>
    </row>
    <row r="134" spans="1:15" ht="22.5" customHeight="1">
      <c r="A134" s="1101"/>
      <c r="B134" s="1101"/>
      <c r="C134" s="1101"/>
      <c r="D134" s="798" t="s">
        <v>492</v>
      </c>
      <c r="E134" s="497" t="s">
        <v>54</v>
      </c>
      <c r="F134" s="502">
        <v>60000</v>
      </c>
      <c r="G134" s="456">
        <v>300</v>
      </c>
      <c r="H134" s="456">
        <v>400</v>
      </c>
      <c r="I134" s="506">
        <f>F134/G134*H134</f>
        <v>80000</v>
      </c>
      <c r="J134" s="690" t="s">
        <v>713</v>
      </c>
      <c r="K134" s="480" t="s">
        <v>714</v>
      </c>
      <c r="L134" s="486" t="s">
        <v>40</v>
      </c>
      <c r="M134" s="480" t="s">
        <v>43</v>
      </c>
      <c r="N134" s="703">
        <f>I134/400</f>
        <v>200</v>
      </c>
      <c r="O134" s="571">
        <f t="shared" si="7"/>
        <v>1400</v>
      </c>
    </row>
    <row r="135" spans="1:15" ht="18" customHeight="1">
      <c r="A135" s="1101"/>
      <c r="B135" s="1101"/>
      <c r="C135" s="1101"/>
      <c r="D135" s="798" t="s">
        <v>715</v>
      </c>
      <c r="E135" s="497" t="s">
        <v>25</v>
      </c>
      <c r="F135" s="502">
        <v>50000</v>
      </c>
      <c r="G135" s="456">
        <v>100</v>
      </c>
      <c r="H135" s="456">
        <v>400</v>
      </c>
      <c r="I135" s="712">
        <f>F135/G135*H135</f>
        <v>200000</v>
      </c>
      <c r="J135" s="690" t="s">
        <v>710</v>
      </c>
      <c r="K135" s="480" t="s">
        <v>586</v>
      </c>
      <c r="L135" s="486" t="s">
        <v>40</v>
      </c>
      <c r="M135" s="480" t="s">
        <v>43</v>
      </c>
      <c r="N135" s="703">
        <f>I135/400</f>
        <v>500</v>
      </c>
      <c r="O135" s="571">
        <f t="shared" si="7"/>
        <v>3500</v>
      </c>
    </row>
    <row r="136" spans="1:15" ht="30.75" customHeight="1">
      <c r="A136" s="1101"/>
      <c r="B136" s="1101"/>
      <c r="C136" s="1101"/>
      <c r="D136" s="798" t="s">
        <v>716</v>
      </c>
      <c r="E136" s="497" t="s">
        <v>45</v>
      </c>
      <c r="F136" s="502">
        <v>1</v>
      </c>
      <c r="G136" s="497"/>
      <c r="H136" s="456">
        <v>100000</v>
      </c>
      <c r="I136" s="506">
        <f>F136*H136</f>
        <v>100000</v>
      </c>
      <c r="J136" s="690" t="s">
        <v>717</v>
      </c>
      <c r="K136" s="480" t="s">
        <v>698</v>
      </c>
      <c r="L136" s="486" t="s">
        <v>40</v>
      </c>
      <c r="M136" s="480" t="s">
        <v>43</v>
      </c>
      <c r="N136" s="703">
        <v>0</v>
      </c>
      <c r="O136" s="571">
        <f t="shared" ref="O136:O203" si="12">N136*7</f>
        <v>0</v>
      </c>
    </row>
    <row r="137" spans="1:15" ht="18" customHeight="1">
      <c r="A137" s="1101"/>
      <c r="B137" s="1101"/>
      <c r="C137" s="1101"/>
      <c r="D137" s="798" t="s">
        <v>493</v>
      </c>
      <c r="E137" s="497" t="s">
        <v>36</v>
      </c>
      <c r="F137" s="502">
        <v>50000</v>
      </c>
      <c r="G137" s="456">
        <v>80</v>
      </c>
      <c r="H137" s="456">
        <v>400</v>
      </c>
      <c r="I137" s="506">
        <f>F137/80*400</f>
        <v>250000</v>
      </c>
      <c r="J137" s="690" t="s">
        <v>710</v>
      </c>
      <c r="K137" s="480" t="s">
        <v>586</v>
      </c>
      <c r="L137" s="486" t="s">
        <v>40</v>
      </c>
      <c r="M137" s="480" t="s">
        <v>43</v>
      </c>
      <c r="N137" s="703">
        <f>I137/400</f>
        <v>625</v>
      </c>
      <c r="O137" s="571">
        <f t="shared" si="12"/>
        <v>4375</v>
      </c>
    </row>
    <row r="138" spans="1:15" ht="18" customHeight="1">
      <c r="A138" s="1101"/>
      <c r="B138" s="1101"/>
      <c r="C138" s="1101"/>
      <c r="D138" s="798" t="s">
        <v>494</v>
      </c>
      <c r="E138" s="497" t="s">
        <v>25</v>
      </c>
      <c r="F138" s="502">
        <v>50000</v>
      </c>
      <c r="G138" s="456">
        <v>80</v>
      </c>
      <c r="H138" s="456">
        <v>400</v>
      </c>
      <c r="I138" s="712">
        <f>F138/80*400</f>
        <v>250000</v>
      </c>
      <c r="J138" s="690" t="s">
        <v>710</v>
      </c>
      <c r="K138" s="480" t="s">
        <v>586</v>
      </c>
      <c r="L138" s="486" t="s">
        <v>40</v>
      </c>
      <c r="M138" s="480" t="s">
        <v>43</v>
      </c>
      <c r="N138" s="703">
        <f>I138/400</f>
        <v>625</v>
      </c>
      <c r="O138" s="571">
        <f t="shared" si="12"/>
        <v>4375</v>
      </c>
    </row>
    <row r="139" spans="1:15" ht="18" customHeight="1">
      <c r="A139" s="1101"/>
      <c r="B139" s="1101"/>
      <c r="C139" s="1101"/>
      <c r="D139" s="798" t="s">
        <v>718</v>
      </c>
      <c r="E139" s="497" t="s">
        <v>26</v>
      </c>
      <c r="F139" s="502">
        <f>50000*20</f>
        <v>1000000</v>
      </c>
      <c r="G139" s="497"/>
      <c r="H139" s="504">
        <v>0.2</v>
      </c>
      <c r="I139" s="506">
        <f>F139*0.2</f>
        <v>200000</v>
      </c>
      <c r="J139" s="690" t="s">
        <v>710</v>
      </c>
      <c r="K139" s="480" t="s">
        <v>719</v>
      </c>
      <c r="L139" s="486" t="s">
        <v>40</v>
      </c>
      <c r="M139" s="480" t="s">
        <v>43</v>
      </c>
      <c r="N139" s="703">
        <v>0</v>
      </c>
      <c r="O139" s="571">
        <f t="shared" si="12"/>
        <v>0</v>
      </c>
    </row>
    <row r="140" spans="1:15" ht="18" customHeight="1">
      <c r="A140" s="1101"/>
      <c r="B140" s="1101"/>
      <c r="C140" s="1101"/>
      <c r="D140" s="798" t="s">
        <v>720</v>
      </c>
      <c r="E140" s="497" t="s">
        <v>25</v>
      </c>
      <c r="F140" s="502">
        <v>50000</v>
      </c>
      <c r="G140" s="456">
        <v>50</v>
      </c>
      <c r="H140" s="456">
        <v>400</v>
      </c>
      <c r="I140" s="506">
        <f>F140/G140*H140</f>
        <v>400000</v>
      </c>
      <c r="J140" s="690" t="s">
        <v>710</v>
      </c>
      <c r="K140" s="480" t="s">
        <v>719</v>
      </c>
      <c r="L140" s="486" t="s">
        <v>40</v>
      </c>
      <c r="M140" s="480" t="s">
        <v>43</v>
      </c>
      <c r="N140" s="703">
        <f>I140/400</f>
        <v>1000</v>
      </c>
      <c r="O140" s="571">
        <f t="shared" si="12"/>
        <v>7000</v>
      </c>
    </row>
    <row r="141" spans="1:15" ht="18" customHeight="1">
      <c r="A141" s="1101"/>
      <c r="B141" s="1101"/>
      <c r="C141" s="1101"/>
      <c r="D141" s="750" t="s">
        <v>736</v>
      </c>
      <c r="E141" s="524" t="s">
        <v>707</v>
      </c>
      <c r="F141" s="500">
        <v>40000</v>
      </c>
      <c r="G141" s="456">
        <v>100</v>
      </c>
      <c r="H141" s="456">
        <v>400</v>
      </c>
      <c r="I141" s="506">
        <f>F141/100*400</f>
        <v>160000</v>
      </c>
      <c r="J141" s="690" t="s">
        <v>722</v>
      </c>
      <c r="K141" s="480" t="s">
        <v>714</v>
      </c>
      <c r="L141" s="486" t="s">
        <v>40</v>
      </c>
      <c r="M141" s="480" t="s">
        <v>43</v>
      </c>
      <c r="N141" s="703">
        <f>I141/400</f>
        <v>400</v>
      </c>
      <c r="O141" s="571">
        <f t="shared" si="12"/>
        <v>2800</v>
      </c>
    </row>
    <row r="142" spans="1:15" ht="18" customHeight="1">
      <c r="A142" s="1101"/>
      <c r="B142" s="1101"/>
      <c r="C142" s="1101"/>
      <c r="D142" s="750" t="s">
        <v>723</v>
      </c>
      <c r="E142" s="524" t="s">
        <v>336</v>
      </c>
      <c r="F142" s="500">
        <v>15</v>
      </c>
      <c r="G142" s="524"/>
      <c r="H142" s="501">
        <v>500</v>
      </c>
      <c r="I142" s="710">
        <f>F142*500</f>
        <v>7500</v>
      </c>
      <c r="J142" s="690" t="s">
        <v>38</v>
      </c>
      <c r="K142" s="480" t="s">
        <v>724</v>
      </c>
      <c r="L142" s="486" t="s">
        <v>40</v>
      </c>
      <c r="M142" s="480" t="s">
        <v>43</v>
      </c>
      <c r="N142" s="703">
        <v>0</v>
      </c>
      <c r="O142" s="571">
        <f t="shared" si="12"/>
        <v>0</v>
      </c>
    </row>
    <row r="143" spans="1:15" ht="18" customHeight="1">
      <c r="A143" s="1101"/>
      <c r="B143" s="1101"/>
      <c r="C143" s="1101"/>
      <c r="D143" s="798" t="s">
        <v>725</v>
      </c>
      <c r="E143" s="497" t="s">
        <v>707</v>
      </c>
      <c r="F143" s="502">
        <v>20000</v>
      </c>
      <c r="G143" s="456">
        <v>4000</v>
      </c>
      <c r="H143" s="456">
        <v>400</v>
      </c>
      <c r="I143" s="506">
        <f>F143/4000*400</f>
        <v>2000</v>
      </c>
      <c r="J143" s="690" t="s">
        <v>714</v>
      </c>
      <c r="K143" s="480" t="s">
        <v>699</v>
      </c>
      <c r="L143" s="486" t="s">
        <v>40</v>
      </c>
      <c r="M143" s="480" t="s">
        <v>43</v>
      </c>
      <c r="N143" s="703">
        <f>I143/400</f>
        <v>5</v>
      </c>
      <c r="O143" s="571">
        <f t="shared" si="12"/>
        <v>35</v>
      </c>
    </row>
    <row r="144" spans="1:15" ht="18" customHeight="1">
      <c r="A144" s="1101"/>
      <c r="B144" s="1101"/>
      <c r="C144" s="1101"/>
      <c r="D144" s="798" t="s">
        <v>726</v>
      </c>
      <c r="E144" s="497" t="s">
        <v>27</v>
      </c>
      <c r="F144" s="502">
        <v>200</v>
      </c>
      <c r="G144" s="497"/>
      <c r="H144" s="456">
        <v>80</v>
      </c>
      <c r="I144" s="506">
        <f>F144*80</f>
        <v>16000</v>
      </c>
      <c r="J144" s="690" t="s">
        <v>714</v>
      </c>
      <c r="K144" s="480" t="s">
        <v>699</v>
      </c>
      <c r="L144" s="486" t="s">
        <v>40</v>
      </c>
      <c r="M144" s="480" t="s">
        <v>43</v>
      </c>
      <c r="N144" s="703">
        <v>0</v>
      </c>
      <c r="O144" s="571">
        <f t="shared" si="12"/>
        <v>0</v>
      </c>
    </row>
    <row r="145" spans="1:15" ht="18" customHeight="1">
      <c r="A145" s="1101"/>
      <c r="B145" s="1101"/>
      <c r="C145" s="1101"/>
      <c r="D145" s="548" t="s">
        <v>737</v>
      </c>
      <c r="E145" s="505" t="s">
        <v>707</v>
      </c>
      <c r="F145" s="502">
        <v>20000</v>
      </c>
      <c r="G145" s="505">
        <v>100</v>
      </c>
      <c r="H145" s="505">
        <v>400</v>
      </c>
      <c r="I145" s="506">
        <f>F145/100*400</f>
        <v>80000</v>
      </c>
      <c r="J145" s="691" t="s">
        <v>728</v>
      </c>
      <c r="K145" s="477" t="s">
        <v>712</v>
      </c>
      <c r="L145" s="488" t="s">
        <v>40</v>
      </c>
      <c r="M145" s="479" t="s">
        <v>738</v>
      </c>
      <c r="N145" s="702">
        <f>I145/400</f>
        <v>200</v>
      </c>
      <c r="O145" s="571">
        <f t="shared" si="12"/>
        <v>1400</v>
      </c>
    </row>
    <row r="146" spans="1:15" ht="18" customHeight="1">
      <c r="A146" s="1101"/>
      <c r="B146" s="1101"/>
      <c r="C146" s="1101"/>
      <c r="D146" s="549" t="s">
        <v>729</v>
      </c>
      <c r="E146" s="505" t="s">
        <v>28</v>
      </c>
      <c r="F146" s="457">
        <v>1</v>
      </c>
      <c r="G146" s="505"/>
      <c r="H146" s="505">
        <v>9000</v>
      </c>
      <c r="I146" s="506">
        <f>F146*9000*8</f>
        <v>72000</v>
      </c>
      <c r="J146" s="691" t="s">
        <v>730</v>
      </c>
      <c r="K146" s="477" t="s">
        <v>731</v>
      </c>
      <c r="L146" s="488" t="s">
        <v>40</v>
      </c>
      <c r="M146" s="479" t="s">
        <v>738</v>
      </c>
      <c r="N146" s="702">
        <v>0</v>
      </c>
      <c r="O146" s="571">
        <f t="shared" si="12"/>
        <v>0</v>
      </c>
    </row>
    <row r="147" spans="1:15" ht="18" customHeight="1">
      <c r="A147" s="1101"/>
      <c r="B147" s="1101"/>
      <c r="C147" s="1101"/>
      <c r="D147" s="550" t="s">
        <v>739</v>
      </c>
      <c r="E147" s="528" t="s">
        <v>481</v>
      </c>
      <c r="F147" s="323">
        <v>10</v>
      </c>
      <c r="G147" s="505"/>
      <c r="H147" s="505"/>
      <c r="I147" s="506"/>
      <c r="J147" s="691"/>
      <c r="K147" s="477"/>
      <c r="L147" s="488"/>
      <c r="M147" s="479"/>
      <c r="N147" s="702"/>
      <c r="O147" s="571">
        <f t="shared" si="12"/>
        <v>0</v>
      </c>
    </row>
    <row r="148" spans="1:15" ht="18" customHeight="1">
      <c r="A148" s="1101"/>
      <c r="B148" s="1101"/>
      <c r="C148" s="1101"/>
      <c r="D148" s="798" t="s">
        <v>904</v>
      </c>
      <c r="E148" s="497" t="s">
        <v>36</v>
      </c>
      <c r="F148" s="498">
        <v>50000</v>
      </c>
      <c r="G148" s="456">
        <v>125</v>
      </c>
      <c r="H148" s="456">
        <v>400</v>
      </c>
      <c r="I148" s="506">
        <f t="shared" ref="I148:I150" si="13">F148/G148*H148</f>
        <v>160000</v>
      </c>
      <c r="J148" s="687" t="s">
        <v>483</v>
      </c>
      <c r="K148" s="480" t="s">
        <v>586</v>
      </c>
      <c r="L148" s="486" t="s">
        <v>40</v>
      </c>
      <c r="M148" s="480" t="s">
        <v>43</v>
      </c>
      <c r="N148" s="703">
        <f t="shared" ref="N148:N150" si="14">I148/400</f>
        <v>400</v>
      </c>
      <c r="O148" s="571">
        <f t="shared" si="12"/>
        <v>2800</v>
      </c>
    </row>
    <row r="149" spans="1:15" ht="18" customHeight="1">
      <c r="A149" s="1101"/>
      <c r="B149" s="1101"/>
      <c r="C149" s="1101"/>
      <c r="D149" s="798" t="s">
        <v>740</v>
      </c>
      <c r="E149" s="497" t="s">
        <v>54</v>
      </c>
      <c r="F149" s="498">
        <v>50000</v>
      </c>
      <c r="G149" s="456">
        <v>250</v>
      </c>
      <c r="H149" s="456">
        <v>400</v>
      </c>
      <c r="I149" s="506">
        <f t="shared" si="13"/>
        <v>80000</v>
      </c>
      <c r="J149" s="690" t="s">
        <v>710</v>
      </c>
      <c r="K149" s="480" t="s">
        <v>586</v>
      </c>
      <c r="L149" s="486"/>
      <c r="M149" s="480" t="s">
        <v>43</v>
      </c>
      <c r="N149" s="703">
        <f t="shared" si="14"/>
        <v>200</v>
      </c>
      <c r="O149" s="571">
        <f t="shared" si="12"/>
        <v>1400</v>
      </c>
    </row>
    <row r="150" spans="1:15" ht="18" customHeight="1">
      <c r="A150" s="1101"/>
      <c r="B150" s="1101"/>
      <c r="C150" s="1101"/>
      <c r="D150" s="798" t="s">
        <v>498</v>
      </c>
      <c r="E150" s="497" t="s">
        <v>48</v>
      </c>
      <c r="F150" s="498">
        <v>50000</v>
      </c>
      <c r="G150" s="456">
        <v>250</v>
      </c>
      <c r="H150" s="456">
        <v>400</v>
      </c>
      <c r="I150" s="506">
        <f t="shared" si="13"/>
        <v>80000</v>
      </c>
      <c r="J150" s="690" t="s">
        <v>710</v>
      </c>
      <c r="K150" s="480" t="s">
        <v>39</v>
      </c>
      <c r="L150" s="486" t="s">
        <v>40</v>
      </c>
      <c r="M150" s="480" t="s">
        <v>43</v>
      </c>
      <c r="N150" s="703">
        <f t="shared" si="14"/>
        <v>200</v>
      </c>
      <c r="O150" s="571">
        <f t="shared" si="12"/>
        <v>1400</v>
      </c>
    </row>
    <row r="151" spans="1:15" ht="18" customHeight="1">
      <c r="A151" s="1101"/>
      <c r="B151" s="1101"/>
      <c r="C151" s="1101"/>
      <c r="D151" s="798" t="s">
        <v>496</v>
      </c>
      <c r="E151" s="497" t="s">
        <v>497</v>
      </c>
      <c r="F151" s="498">
        <v>10</v>
      </c>
      <c r="G151" s="497"/>
      <c r="H151" s="456">
        <v>1500</v>
      </c>
      <c r="I151" s="506">
        <f t="shared" ref="I151:I156" si="15">F151*H151</f>
        <v>15000</v>
      </c>
      <c r="J151" s="690" t="s">
        <v>711</v>
      </c>
      <c r="K151" s="480" t="s">
        <v>712</v>
      </c>
      <c r="L151" s="486" t="s">
        <v>40</v>
      </c>
      <c r="M151" s="487"/>
      <c r="N151" s="703">
        <v>0</v>
      </c>
      <c r="O151" s="571">
        <f t="shared" si="12"/>
        <v>0</v>
      </c>
    </row>
    <row r="152" spans="1:15" ht="18" customHeight="1">
      <c r="A152" s="1101"/>
      <c r="B152" s="1101"/>
      <c r="C152" s="1101"/>
      <c r="D152" s="798" t="s">
        <v>50</v>
      </c>
      <c r="E152" s="497" t="s">
        <v>51</v>
      </c>
      <c r="F152" s="498">
        <v>12</v>
      </c>
      <c r="G152" s="497"/>
      <c r="H152" s="456">
        <v>300</v>
      </c>
      <c r="I152" s="506">
        <f t="shared" si="15"/>
        <v>3600</v>
      </c>
      <c r="J152" s="690" t="s">
        <v>711</v>
      </c>
      <c r="K152" s="480" t="s">
        <v>712</v>
      </c>
      <c r="L152" s="486" t="s">
        <v>40</v>
      </c>
      <c r="M152" s="487"/>
      <c r="N152" s="703">
        <v>0</v>
      </c>
      <c r="O152" s="571">
        <f t="shared" si="12"/>
        <v>0</v>
      </c>
    </row>
    <row r="153" spans="1:15" ht="18" customHeight="1">
      <c r="A153" s="1101"/>
      <c r="B153" s="1101"/>
      <c r="C153" s="1101"/>
      <c r="D153" s="798" t="s">
        <v>52</v>
      </c>
      <c r="E153" s="497" t="s">
        <v>26</v>
      </c>
      <c r="F153" s="498">
        <v>100000</v>
      </c>
      <c r="G153" s="497"/>
      <c r="H153" s="504">
        <v>0.2</v>
      </c>
      <c r="I153" s="506">
        <f t="shared" si="15"/>
        <v>20000</v>
      </c>
      <c r="J153" s="690" t="s">
        <v>710</v>
      </c>
      <c r="K153" s="480" t="s">
        <v>586</v>
      </c>
      <c r="L153" s="486" t="s">
        <v>40</v>
      </c>
      <c r="M153" s="487"/>
      <c r="N153" s="703">
        <v>0</v>
      </c>
      <c r="O153" s="571">
        <f t="shared" si="12"/>
        <v>0</v>
      </c>
    </row>
    <row r="154" spans="1:15" ht="18" customHeight="1">
      <c r="A154" s="1101"/>
      <c r="B154" s="1101"/>
      <c r="C154" s="1101"/>
      <c r="D154" s="798" t="s">
        <v>55</v>
      </c>
      <c r="E154" s="497" t="s">
        <v>29</v>
      </c>
      <c r="F154" s="498">
        <v>2</v>
      </c>
      <c r="G154" s="497"/>
      <c r="H154" s="456">
        <v>4000</v>
      </c>
      <c r="I154" s="506">
        <f t="shared" si="15"/>
        <v>8000</v>
      </c>
      <c r="J154" s="690" t="s">
        <v>710</v>
      </c>
      <c r="K154" s="480" t="s">
        <v>586</v>
      </c>
      <c r="L154" s="486"/>
      <c r="M154" s="487"/>
      <c r="N154" s="703">
        <v>0</v>
      </c>
      <c r="O154" s="571">
        <f t="shared" si="12"/>
        <v>0</v>
      </c>
    </row>
    <row r="155" spans="1:15" ht="18" customHeight="1">
      <c r="A155" s="1101"/>
      <c r="B155" s="1101"/>
      <c r="C155" s="1101"/>
      <c r="D155" s="798" t="s">
        <v>741</v>
      </c>
      <c r="E155" s="497" t="s">
        <v>26</v>
      </c>
      <c r="F155" s="498">
        <v>200</v>
      </c>
      <c r="G155" s="497"/>
      <c r="H155" s="456">
        <v>50</v>
      </c>
      <c r="I155" s="506">
        <f t="shared" si="15"/>
        <v>10000</v>
      </c>
      <c r="J155" s="690" t="s">
        <v>488</v>
      </c>
      <c r="K155" s="480" t="s">
        <v>39</v>
      </c>
      <c r="L155" s="486" t="s">
        <v>40</v>
      </c>
      <c r="M155" s="487"/>
      <c r="N155" s="703">
        <v>0</v>
      </c>
      <c r="O155" s="571">
        <f t="shared" si="12"/>
        <v>0</v>
      </c>
    </row>
    <row r="156" spans="1:15" ht="18" customHeight="1">
      <c r="A156" s="1102"/>
      <c r="B156" s="1102"/>
      <c r="C156" s="1102"/>
      <c r="D156" s="798" t="s">
        <v>896</v>
      </c>
      <c r="E156" s="497"/>
      <c r="F156" s="498">
        <v>1</v>
      </c>
      <c r="G156" s="497"/>
      <c r="H156" s="456">
        <v>18569</v>
      </c>
      <c r="I156" s="712">
        <f t="shared" si="15"/>
        <v>18569</v>
      </c>
      <c r="J156" s="690" t="s">
        <v>488</v>
      </c>
      <c r="K156" s="480" t="s">
        <v>39</v>
      </c>
      <c r="L156" s="486" t="s">
        <v>40</v>
      </c>
      <c r="M156" s="487"/>
      <c r="N156" s="703">
        <v>0</v>
      </c>
      <c r="O156" s="571">
        <f t="shared" si="12"/>
        <v>0</v>
      </c>
    </row>
    <row r="157" spans="1:15" s="533" customFormat="1" ht="34.5" customHeight="1">
      <c r="A157" s="1076" t="s">
        <v>190</v>
      </c>
      <c r="B157" s="1077"/>
      <c r="C157" s="1077"/>
      <c r="D157" s="1078"/>
      <c r="E157" s="729"/>
      <c r="F157" s="730"/>
      <c r="G157" s="730"/>
      <c r="H157" s="731"/>
      <c r="I157" s="732">
        <f>SUM(I131:I156)</f>
        <v>2356669</v>
      </c>
      <c r="J157" s="732"/>
      <c r="K157" s="735"/>
      <c r="L157" s="732"/>
      <c r="M157" s="732"/>
      <c r="N157" s="732">
        <f>SUM(N131:N156)</f>
        <v>4475</v>
      </c>
      <c r="O157" s="732">
        <f t="shared" si="12"/>
        <v>31325</v>
      </c>
    </row>
    <row r="158" spans="1:15" s="533" customFormat="1" ht="38.25" customHeight="1">
      <c r="A158" s="760" t="s">
        <v>13</v>
      </c>
      <c r="B158" s="760" t="s">
        <v>14</v>
      </c>
      <c r="C158" s="761" t="s">
        <v>15</v>
      </c>
      <c r="D158" s="790" t="s">
        <v>16</v>
      </c>
      <c r="E158" s="529" t="s">
        <v>17</v>
      </c>
      <c r="F158" s="569" t="s">
        <v>18</v>
      </c>
      <c r="G158" s="569" t="s">
        <v>330</v>
      </c>
      <c r="H158" s="563" t="s">
        <v>575</v>
      </c>
      <c r="I158" s="570" t="s">
        <v>774</v>
      </c>
      <c r="J158" s="684" t="s">
        <v>19</v>
      </c>
      <c r="K158" s="563" t="s">
        <v>3</v>
      </c>
      <c r="L158" s="569" t="s">
        <v>21</v>
      </c>
      <c r="M158" s="569" t="s">
        <v>22</v>
      </c>
      <c r="N158" s="700" t="s">
        <v>1058</v>
      </c>
      <c r="O158" s="700" t="s">
        <v>1058</v>
      </c>
    </row>
    <row r="159" spans="1:15" ht="19.5" customHeight="1">
      <c r="A159" s="1100" t="s">
        <v>58</v>
      </c>
      <c r="B159" s="1100" t="s">
        <v>871</v>
      </c>
      <c r="C159" s="1100" t="s">
        <v>882</v>
      </c>
      <c r="D159" s="798" t="s">
        <v>489</v>
      </c>
      <c r="E159" s="507" t="s">
        <v>44</v>
      </c>
      <c r="F159" s="508">
        <v>1</v>
      </c>
      <c r="G159" s="507"/>
      <c r="H159" s="507">
        <v>10000</v>
      </c>
      <c r="I159" s="518">
        <f>F159*10000</f>
        <v>10000</v>
      </c>
      <c r="J159" s="687" t="s">
        <v>38</v>
      </c>
      <c r="K159" s="480" t="s">
        <v>698</v>
      </c>
      <c r="L159" s="488" t="s">
        <v>40</v>
      </c>
      <c r="M159" s="488"/>
      <c r="N159" s="702"/>
      <c r="O159" s="571">
        <f t="shared" si="12"/>
        <v>0</v>
      </c>
    </row>
    <row r="160" spans="1:15" ht="19.5" customHeight="1">
      <c r="A160" s="1101"/>
      <c r="B160" s="1101"/>
      <c r="C160" s="1101"/>
      <c r="D160" s="749" t="s">
        <v>897</v>
      </c>
      <c r="E160" s="505" t="s">
        <v>28</v>
      </c>
      <c r="F160" s="457">
        <v>20</v>
      </c>
      <c r="G160" s="505"/>
      <c r="H160" s="505">
        <v>3000</v>
      </c>
      <c r="I160" s="506">
        <f>F160*3000</f>
        <v>60000</v>
      </c>
      <c r="J160" s="687" t="s">
        <v>699</v>
      </c>
      <c r="K160" s="480" t="s">
        <v>700</v>
      </c>
      <c r="L160" s="488" t="s">
        <v>40</v>
      </c>
      <c r="M160" s="477" t="s">
        <v>43</v>
      </c>
      <c r="N160" s="702">
        <v>0</v>
      </c>
      <c r="O160" s="571">
        <f t="shared" si="12"/>
        <v>0</v>
      </c>
    </row>
    <row r="161" spans="1:15" ht="27.75" customHeight="1">
      <c r="A161" s="1101"/>
      <c r="B161" s="1101"/>
      <c r="C161" s="1101"/>
      <c r="D161" s="750" t="s">
        <v>701</v>
      </c>
      <c r="E161" s="524" t="s">
        <v>481</v>
      </c>
      <c r="F161" s="751">
        <v>40</v>
      </c>
      <c r="G161" s="497"/>
      <c r="H161" s="497"/>
      <c r="I161" s="752"/>
      <c r="J161" s="687" t="s">
        <v>484</v>
      </c>
      <c r="K161" s="482" t="s">
        <v>485</v>
      </c>
      <c r="L161" s="586" t="s">
        <v>40</v>
      </c>
      <c r="M161" s="476" t="s">
        <v>43</v>
      </c>
      <c r="N161" s="702"/>
      <c r="O161" s="571">
        <f t="shared" si="12"/>
        <v>0</v>
      </c>
    </row>
    <row r="162" spans="1:15" ht="19.5" customHeight="1">
      <c r="A162" s="1101"/>
      <c r="B162" s="1101"/>
      <c r="C162" s="1101"/>
      <c r="D162" s="750" t="s">
        <v>733</v>
      </c>
      <c r="E162" s="524" t="s">
        <v>481</v>
      </c>
      <c r="F162" s="751">
        <v>100</v>
      </c>
      <c r="G162" s="497"/>
      <c r="H162" s="497"/>
      <c r="I162" s="752"/>
      <c r="J162" s="691" t="s">
        <v>38</v>
      </c>
      <c r="K162" s="477" t="s">
        <v>39</v>
      </c>
      <c r="L162" s="488" t="s">
        <v>40</v>
      </c>
      <c r="M162" s="477" t="s">
        <v>43</v>
      </c>
      <c r="N162" s="702"/>
      <c r="O162" s="571">
        <f t="shared" si="12"/>
        <v>0</v>
      </c>
    </row>
    <row r="163" spans="1:15" ht="19.5" customHeight="1">
      <c r="A163" s="1101"/>
      <c r="B163" s="1101"/>
      <c r="C163" s="1101"/>
      <c r="D163" s="798" t="s">
        <v>734</v>
      </c>
      <c r="E163" s="497" t="s">
        <v>336</v>
      </c>
      <c r="F163" s="751">
        <f>100*5</f>
        <v>500</v>
      </c>
      <c r="G163" s="497"/>
      <c r="H163" s="456">
        <v>200</v>
      </c>
      <c r="I163" s="752">
        <f>F163*200</f>
        <v>100000</v>
      </c>
      <c r="J163" s="688" t="s">
        <v>704</v>
      </c>
      <c r="K163" s="584" t="s">
        <v>705</v>
      </c>
      <c r="L163" s="488" t="s">
        <v>40</v>
      </c>
      <c r="M163" s="477" t="s">
        <v>43</v>
      </c>
      <c r="N163" s="702">
        <v>0</v>
      </c>
      <c r="O163" s="571">
        <f t="shared" si="12"/>
        <v>0</v>
      </c>
    </row>
    <row r="164" spans="1:15" ht="19.5" customHeight="1">
      <c r="A164" s="1101"/>
      <c r="B164" s="1101"/>
      <c r="C164" s="1101"/>
      <c r="D164" s="798" t="s">
        <v>742</v>
      </c>
      <c r="E164" s="497" t="s">
        <v>707</v>
      </c>
      <c r="F164" s="751">
        <f>F162*10000</f>
        <v>1000000</v>
      </c>
      <c r="G164" s="456">
        <v>4000</v>
      </c>
      <c r="H164" s="456">
        <v>400</v>
      </c>
      <c r="I164" s="752">
        <f>F164/4000*400</f>
        <v>100000</v>
      </c>
      <c r="J164" s="688" t="s">
        <v>708</v>
      </c>
      <c r="K164" s="584" t="s">
        <v>705</v>
      </c>
      <c r="L164" s="488" t="s">
        <v>40</v>
      </c>
      <c r="M164" s="477" t="s">
        <v>43</v>
      </c>
      <c r="N164" s="702">
        <f>I164/400</f>
        <v>250</v>
      </c>
      <c r="O164" s="571">
        <f t="shared" si="12"/>
        <v>1750</v>
      </c>
    </row>
    <row r="165" spans="1:15" ht="19.5" customHeight="1">
      <c r="A165" s="1101"/>
      <c r="B165" s="1101"/>
      <c r="C165" s="1101"/>
      <c r="D165" s="750" t="s">
        <v>709</v>
      </c>
      <c r="E165" s="524" t="s">
        <v>481</v>
      </c>
      <c r="F165" s="751">
        <v>20</v>
      </c>
      <c r="G165" s="456"/>
      <c r="H165" s="497"/>
      <c r="I165" s="752"/>
      <c r="J165" s="691"/>
      <c r="K165" s="477"/>
      <c r="L165" s="488"/>
      <c r="M165" s="477"/>
      <c r="N165" s="702"/>
      <c r="O165" s="571">
        <f t="shared" si="12"/>
        <v>0</v>
      </c>
    </row>
    <row r="166" spans="1:15" ht="19.5" customHeight="1">
      <c r="A166" s="1101"/>
      <c r="B166" s="1101"/>
      <c r="C166" s="1101"/>
      <c r="D166" s="799" t="s">
        <v>899</v>
      </c>
      <c r="E166" s="505" t="s">
        <v>36</v>
      </c>
      <c r="F166" s="457">
        <v>100000</v>
      </c>
      <c r="G166" s="456">
        <v>125</v>
      </c>
      <c r="H166" s="505">
        <v>400</v>
      </c>
      <c r="I166" s="506">
        <f>F166/125*400</f>
        <v>320000</v>
      </c>
      <c r="J166" s="687" t="s">
        <v>483</v>
      </c>
      <c r="K166" s="480" t="s">
        <v>586</v>
      </c>
      <c r="L166" s="488" t="s">
        <v>40</v>
      </c>
      <c r="M166" s="477" t="s">
        <v>43</v>
      </c>
      <c r="N166" s="702">
        <f t="shared" ref="N166:N167" si="16">I166/400</f>
        <v>800</v>
      </c>
      <c r="O166" s="571">
        <f t="shared" si="12"/>
        <v>5600</v>
      </c>
    </row>
    <row r="167" spans="1:15" ht="19.5" customHeight="1">
      <c r="A167" s="1101"/>
      <c r="B167" s="1101"/>
      <c r="C167" s="1101"/>
      <c r="D167" s="799" t="s">
        <v>498</v>
      </c>
      <c r="E167" s="505" t="s">
        <v>36</v>
      </c>
      <c r="F167" s="457">
        <v>100000</v>
      </c>
      <c r="G167" s="456">
        <v>250</v>
      </c>
      <c r="H167" s="505">
        <v>400</v>
      </c>
      <c r="I167" s="506">
        <f>F167/250*400</f>
        <v>160000</v>
      </c>
      <c r="J167" s="687" t="s">
        <v>710</v>
      </c>
      <c r="K167" s="480" t="s">
        <v>39</v>
      </c>
      <c r="L167" s="488" t="s">
        <v>40</v>
      </c>
      <c r="M167" s="477" t="s">
        <v>43</v>
      </c>
      <c r="N167" s="702">
        <f t="shared" si="16"/>
        <v>400</v>
      </c>
      <c r="O167" s="571">
        <f t="shared" si="12"/>
        <v>2800</v>
      </c>
    </row>
    <row r="168" spans="1:15" ht="19.5" customHeight="1">
      <c r="A168" s="1101"/>
      <c r="B168" s="1101"/>
      <c r="C168" s="1101"/>
      <c r="D168" s="799" t="s">
        <v>49</v>
      </c>
      <c r="E168" s="505" t="s">
        <v>27</v>
      </c>
      <c r="F168" s="457">
        <v>30</v>
      </c>
      <c r="G168" s="456"/>
      <c r="H168" s="505">
        <v>4000</v>
      </c>
      <c r="I168" s="506">
        <f>4000*F168</f>
        <v>120000</v>
      </c>
      <c r="J168" s="687" t="s">
        <v>711</v>
      </c>
      <c r="K168" s="480" t="s">
        <v>712</v>
      </c>
      <c r="L168" s="488" t="s">
        <v>40</v>
      </c>
      <c r="M168" s="477" t="s">
        <v>43</v>
      </c>
      <c r="N168" s="702">
        <v>0</v>
      </c>
      <c r="O168" s="571">
        <f t="shared" si="12"/>
        <v>0</v>
      </c>
    </row>
    <row r="169" spans="1:15" ht="19.5" customHeight="1">
      <c r="A169" s="1101"/>
      <c r="B169" s="1101"/>
      <c r="C169" s="1101"/>
      <c r="D169" s="799" t="s">
        <v>50</v>
      </c>
      <c r="E169" s="505" t="s">
        <v>51</v>
      </c>
      <c r="F169" s="457">
        <v>24</v>
      </c>
      <c r="G169" s="456"/>
      <c r="H169" s="505">
        <v>300</v>
      </c>
      <c r="I169" s="506">
        <f>300*F169</f>
        <v>7200</v>
      </c>
      <c r="J169" s="687" t="s">
        <v>711</v>
      </c>
      <c r="K169" s="480" t="s">
        <v>712</v>
      </c>
      <c r="L169" s="488" t="s">
        <v>40</v>
      </c>
      <c r="M169" s="477" t="s">
        <v>43</v>
      </c>
      <c r="N169" s="702">
        <v>0</v>
      </c>
      <c r="O169" s="571">
        <f t="shared" si="12"/>
        <v>0</v>
      </c>
    </row>
    <row r="170" spans="1:15" ht="19.5" customHeight="1">
      <c r="A170" s="1101"/>
      <c r="B170" s="1101"/>
      <c r="C170" s="1101"/>
      <c r="D170" s="799" t="s">
        <v>52</v>
      </c>
      <c r="E170" s="505" t="s">
        <v>26</v>
      </c>
      <c r="F170" s="457">
        <v>100000</v>
      </c>
      <c r="G170" s="456"/>
      <c r="H170" s="505">
        <v>0.2</v>
      </c>
      <c r="I170" s="506">
        <f>F170*0.2</f>
        <v>20000</v>
      </c>
      <c r="J170" s="687" t="s">
        <v>710</v>
      </c>
      <c r="K170" s="480" t="s">
        <v>586</v>
      </c>
      <c r="L170" s="488" t="s">
        <v>40</v>
      </c>
      <c r="M170" s="477" t="s">
        <v>43</v>
      </c>
      <c r="N170" s="702">
        <v>0</v>
      </c>
      <c r="O170" s="571">
        <f t="shared" si="12"/>
        <v>0</v>
      </c>
    </row>
    <row r="171" spans="1:15" ht="19.5" customHeight="1">
      <c r="A171" s="1102"/>
      <c r="B171" s="1102"/>
      <c r="C171" s="1102"/>
      <c r="D171" s="798" t="s">
        <v>896</v>
      </c>
      <c r="E171" s="505"/>
      <c r="F171" s="457">
        <v>1</v>
      </c>
      <c r="G171" s="456"/>
      <c r="H171" s="505">
        <v>18569</v>
      </c>
      <c r="I171" s="713">
        <f>F171*H171</f>
        <v>18569</v>
      </c>
      <c r="J171" s="691" t="s">
        <v>38</v>
      </c>
      <c r="K171" s="477" t="s">
        <v>39</v>
      </c>
      <c r="L171" s="488" t="s">
        <v>40</v>
      </c>
      <c r="M171" s="477" t="s">
        <v>43</v>
      </c>
      <c r="N171" s="702">
        <v>0</v>
      </c>
      <c r="O171" s="571">
        <f t="shared" si="12"/>
        <v>0</v>
      </c>
    </row>
    <row r="172" spans="1:15" s="533" customFormat="1" ht="34.5" customHeight="1">
      <c r="A172" s="1076" t="s">
        <v>190</v>
      </c>
      <c r="B172" s="1077"/>
      <c r="C172" s="1077"/>
      <c r="D172" s="1078"/>
      <c r="E172" s="729"/>
      <c r="F172" s="730"/>
      <c r="G172" s="730"/>
      <c r="H172" s="731"/>
      <c r="I172" s="732">
        <f>SUM(I159:I171)</f>
        <v>915769</v>
      </c>
      <c r="J172" s="732"/>
      <c r="K172" s="735"/>
      <c r="L172" s="732"/>
      <c r="M172" s="732"/>
      <c r="N172" s="732">
        <f>SUM(N159:N171)</f>
        <v>1450</v>
      </c>
      <c r="O172" s="732">
        <f t="shared" si="12"/>
        <v>10150</v>
      </c>
    </row>
    <row r="173" spans="1:15" s="533" customFormat="1" ht="38.25" customHeight="1">
      <c r="A173" s="760" t="s">
        <v>13</v>
      </c>
      <c r="B173" s="760" t="s">
        <v>14</v>
      </c>
      <c r="C173" s="761" t="s">
        <v>15</v>
      </c>
      <c r="D173" s="790" t="s">
        <v>16</v>
      </c>
      <c r="E173" s="529" t="s">
        <v>17</v>
      </c>
      <c r="F173" s="569" t="s">
        <v>18</v>
      </c>
      <c r="G173" s="569" t="s">
        <v>330</v>
      </c>
      <c r="H173" s="563" t="s">
        <v>575</v>
      </c>
      <c r="I173" s="570" t="s">
        <v>774</v>
      </c>
      <c r="J173" s="684" t="s">
        <v>19</v>
      </c>
      <c r="K173" s="563" t="s">
        <v>3</v>
      </c>
      <c r="L173" s="569" t="s">
        <v>21</v>
      </c>
      <c r="M173" s="569" t="s">
        <v>22</v>
      </c>
      <c r="N173" s="700" t="s">
        <v>1058</v>
      </c>
      <c r="O173" s="700" t="s">
        <v>1058</v>
      </c>
    </row>
    <row r="174" spans="1:15" ht="34.5" customHeight="1">
      <c r="A174" s="1100" t="s">
        <v>59</v>
      </c>
      <c r="B174" s="1100" t="s">
        <v>499</v>
      </c>
      <c r="C174" s="1100" t="s">
        <v>804</v>
      </c>
      <c r="D174" s="750" t="s">
        <v>701</v>
      </c>
      <c r="E174" s="524" t="s">
        <v>481</v>
      </c>
      <c r="F174" s="499">
        <v>40</v>
      </c>
      <c r="G174" s="524"/>
      <c r="H174" s="524"/>
      <c r="I174" s="710"/>
      <c r="J174" s="691" t="s">
        <v>42</v>
      </c>
      <c r="K174" s="477" t="s">
        <v>39</v>
      </c>
      <c r="L174" s="488" t="s">
        <v>40</v>
      </c>
      <c r="M174" s="488" t="s">
        <v>482</v>
      </c>
      <c r="N174" s="702">
        <v>0</v>
      </c>
      <c r="O174" s="571">
        <f t="shared" si="12"/>
        <v>0</v>
      </c>
    </row>
    <row r="175" spans="1:15" ht="19.5" customHeight="1">
      <c r="A175" s="1101"/>
      <c r="B175" s="1101"/>
      <c r="C175" s="1101"/>
      <c r="D175" s="800" t="s">
        <v>316</v>
      </c>
      <c r="E175" s="505" t="s">
        <v>28</v>
      </c>
      <c r="F175" s="457">
        <v>1</v>
      </c>
      <c r="G175" s="505"/>
      <c r="H175" s="505">
        <v>12000</v>
      </c>
      <c r="I175" s="519">
        <f>F175*12000*9</f>
        <v>108000</v>
      </c>
      <c r="J175" s="691" t="s">
        <v>42</v>
      </c>
      <c r="K175" s="477" t="s">
        <v>39</v>
      </c>
      <c r="L175" s="488"/>
      <c r="M175" s="488"/>
      <c r="N175" s="702">
        <f>30*9</f>
        <v>270</v>
      </c>
      <c r="O175" s="571">
        <f t="shared" si="12"/>
        <v>1890</v>
      </c>
    </row>
    <row r="176" spans="1:15" ht="19.5" customHeight="1">
      <c r="A176" s="1101"/>
      <c r="B176" s="1101"/>
      <c r="C176" s="1101"/>
      <c r="D176" s="798" t="s">
        <v>636</v>
      </c>
      <c r="E176" s="505" t="s">
        <v>28</v>
      </c>
      <c r="F176" s="457">
        <v>1</v>
      </c>
      <c r="G176" s="505"/>
      <c r="H176" s="505">
        <v>8000</v>
      </c>
      <c r="I176" s="509">
        <f>F176*8000*12</f>
        <v>96000</v>
      </c>
      <c r="J176" s="691" t="s">
        <v>38</v>
      </c>
      <c r="K176" s="477" t="s">
        <v>39</v>
      </c>
      <c r="L176" s="488" t="s">
        <v>40</v>
      </c>
      <c r="M176" s="477" t="s">
        <v>43</v>
      </c>
      <c r="N176" s="702">
        <f>30*12</f>
        <v>360</v>
      </c>
      <c r="O176" s="571">
        <f t="shared" si="12"/>
        <v>2520</v>
      </c>
    </row>
    <row r="177" spans="1:15" ht="19.5" customHeight="1">
      <c r="A177" s="1101"/>
      <c r="B177" s="1101"/>
      <c r="C177" s="1101"/>
      <c r="D177" s="548" t="s">
        <v>743</v>
      </c>
      <c r="E177" s="505" t="s">
        <v>707</v>
      </c>
      <c r="F177" s="457">
        <v>40000</v>
      </c>
      <c r="G177" s="505">
        <v>100</v>
      </c>
      <c r="H177" s="505">
        <v>400</v>
      </c>
      <c r="I177" s="509">
        <f>F177/100*400</f>
        <v>160000</v>
      </c>
      <c r="J177" s="691" t="s">
        <v>728</v>
      </c>
      <c r="K177" s="477" t="s">
        <v>712</v>
      </c>
      <c r="L177" s="488" t="s">
        <v>40</v>
      </c>
      <c r="M177" s="479" t="s">
        <v>738</v>
      </c>
      <c r="N177" s="702">
        <f>I177/400</f>
        <v>400</v>
      </c>
      <c r="O177" s="571">
        <f t="shared" si="12"/>
        <v>2800</v>
      </c>
    </row>
    <row r="178" spans="1:15" ht="19.5" customHeight="1">
      <c r="A178" s="1101"/>
      <c r="B178" s="1101"/>
      <c r="C178" s="1101"/>
      <c r="D178" s="549" t="s">
        <v>729</v>
      </c>
      <c r="E178" s="505" t="s">
        <v>28</v>
      </c>
      <c r="F178" s="457">
        <v>1</v>
      </c>
      <c r="G178" s="505"/>
      <c r="H178" s="505">
        <v>9000</v>
      </c>
      <c r="I178" s="509">
        <f>F178*8*9000</f>
        <v>72000</v>
      </c>
      <c r="J178" s="691" t="s">
        <v>730</v>
      </c>
      <c r="K178" s="477" t="s">
        <v>731</v>
      </c>
      <c r="L178" s="488" t="s">
        <v>40</v>
      </c>
      <c r="M178" s="479" t="s">
        <v>738</v>
      </c>
      <c r="N178" s="702">
        <f>30*2</f>
        <v>60</v>
      </c>
      <c r="O178" s="571">
        <f t="shared" si="12"/>
        <v>420</v>
      </c>
    </row>
    <row r="179" spans="1:15" ht="19.5" customHeight="1">
      <c r="A179" s="1102"/>
      <c r="B179" s="1102"/>
      <c r="C179" s="1102"/>
      <c r="D179" s="798" t="s">
        <v>896</v>
      </c>
      <c r="E179" s="505"/>
      <c r="F179" s="457">
        <v>1</v>
      </c>
      <c r="G179" s="505"/>
      <c r="H179" s="505">
        <v>18569</v>
      </c>
      <c r="I179" s="713">
        <f>F179*H179</f>
        <v>18569</v>
      </c>
      <c r="J179" s="691" t="s">
        <v>38</v>
      </c>
      <c r="K179" s="477" t="s">
        <v>39</v>
      </c>
      <c r="L179" s="488" t="s">
        <v>40</v>
      </c>
      <c r="M179" s="479"/>
      <c r="N179" s="702">
        <v>0</v>
      </c>
      <c r="O179" s="571">
        <f t="shared" si="12"/>
        <v>0</v>
      </c>
    </row>
    <row r="180" spans="1:15" s="533" customFormat="1" ht="34.5" customHeight="1">
      <c r="A180" s="1076" t="s">
        <v>190</v>
      </c>
      <c r="B180" s="1077"/>
      <c r="C180" s="1077"/>
      <c r="D180" s="1078"/>
      <c r="E180" s="729"/>
      <c r="F180" s="730"/>
      <c r="G180" s="730"/>
      <c r="H180" s="731"/>
      <c r="I180" s="732">
        <f>SUM(I174:I179)</f>
        <v>454569</v>
      </c>
      <c r="J180" s="732"/>
      <c r="K180" s="735"/>
      <c r="L180" s="732"/>
      <c r="M180" s="732"/>
      <c r="N180" s="732">
        <f>SUM(N174:N179)</f>
        <v>1090</v>
      </c>
      <c r="O180" s="732">
        <f t="shared" si="12"/>
        <v>7630</v>
      </c>
    </row>
    <row r="181" spans="1:15" s="533" customFormat="1" ht="38.25" customHeight="1">
      <c r="A181" s="760" t="s">
        <v>13</v>
      </c>
      <c r="B181" s="760" t="s">
        <v>14</v>
      </c>
      <c r="C181" s="761" t="s">
        <v>15</v>
      </c>
      <c r="D181" s="790" t="s">
        <v>16</v>
      </c>
      <c r="E181" s="529" t="s">
        <v>17</v>
      </c>
      <c r="F181" s="569" t="s">
        <v>18</v>
      </c>
      <c r="G181" s="569" t="s">
        <v>330</v>
      </c>
      <c r="H181" s="563" t="s">
        <v>575</v>
      </c>
      <c r="I181" s="570" t="s">
        <v>774</v>
      </c>
      <c r="J181" s="684" t="s">
        <v>19</v>
      </c>
      <c r="K181" s="563" t="s">
        <v>3</v>
      </c>
      <c r="L181" s="569" t="s">
        <v>21</v>
      </c>
      <c r="M181" s="569" t="s">
        <v>22</v>
      </c>
      <c r="N181" s="700" t="s">
        <v>1058</v>
      </c>
      <c r="O181" s="700" t="s">
        <v>1058</v>
      </c>
    </row>
    <row r="182" spans="1:15" ht="33" customHeight="1">
      <c r="A182" s="1100" t="s">
        <v>60</v>
      </c>
      <c r="B182" s="1100" t="s">
        <v>61</v>
      </c>
      <c r="C182" s="1100" t="s">
        <v>805</v>
      </c>
      <c r="D182" s="750" t="s">
        <v>701</v>
      </c>
      <c r="E182" s="524" t="s">
        <v>481</v>
      </c>
      <c r="F182" s="499">
        <v>40</v>
      </c>
      <c r="G182" s="524"/>
      <c r="H182" s="524"/>
      <c r="I182" s="710"/>
      <c r="J182" s="691" t="s">
        <v>42</v>
      </c>
      <c r="K182" s="477" t="s">
        <v>39</v>
      </c>
      <c r="L182" s="488" t="s">
        <v>40</v>
      </c>
      <c r="M182" s="478" t="s">
        <v>744</v>
      </c>
      <c r="N182" s="702">
        <f>30*9</f>
        <v>270</v>
      </c>
      <c r="O182" s="571">
        <f t="shared" si="12"/>
        <v>1890</v>
      </c>
    </row>
    <row r="183" spans="1:15" ht="21" customHeight="1">
      <c r="A183" s="1101"/>
      <c r="B183" s="1101"/>
      <c r="C183" s="1101"/>
      <c r="D183" s="798" t="s">
        <v>671</v>
      </c>
      <c r="E183" s="505" t="s">
        <v>28</v>
      </c>
      <c r="F183" s="457">
        <v>1</v>
      </c>
      <c r="G183" s="505"/>
      <c r="H183" s="505">
        <v>8000</v>
      </c>
      <c r="I183" s="506">
        <f>F183*8000*12</f>
        <v>96000</v>
      </c>
      <c r="J183" s="691" t="s">
        <v>38</v>
      </c>
      <c r="K183" s="477" t="s">
        <v>39</v>
      </c>
      <c r="L183" s="488" t="s">
        <v>40</v>
      </c>
      <c r="M183" s="479" t="s">
        <v>43</v>
      </c>
      <c r="N183" s="702">
        <f>30*12</f>
        <v>360</v>
      </c>
      <c r="O183" s="571">
        <f t="shared" si="12"/>
        <v>2520</v>
      </c>
    </row>
    <row r="184" spans="1:15" ht="21" customHeight="1">
      <c r="A184" s="1101"/>
      <c r="B184" s="1101"/>
      <c r="C184" s="1101"/>
      <c r="D184" s="549" t="s">
        <v>729</v>
      </c>
      <c r="E184" s="505" t="s">
        <v>28</v>
      </c>
      <c r="F184" s="457">
        <v>1</v>
      </c>
      <c r="G184" s="505"/>
      <c r="H184" s="505">
        <v>9000</v>
      </c>
      <c r="I184" s="506">
        <f>1*9000*8</f>
        <v>72000</v>
      </c>
      <c r="J184" s="691" t="s">
        <v>730</v>
      </c>
      <c r="K184" s="477" t="s">
        <v>731</v>
      </c>
      <c r="L184" s="488" t="s">
        <v>40</v>
      </c>
      <c r="M184" s="479" t="s">
        <v>738</v>
      </c>
      <c r="N184" s="702">
        <f>30*8</f>
        <v>240</v>
      </c>
      <c r="O184" s="571">
        <f t="shared" si="12"/>
        <v>1680</v>
      </c>
    </row>
    <row r="185" spans="1:15" ht="21" customHeight="1">
      <c r="A185" s="1101"/>
      <c r="B185" s="1101"/>
      <c r="C185" s="1101"/>
      <c r="D185" s="548" t="s">
        <v>745</v>
      </c>
      <c r="E185" s="505" t="s">
        <v>707</v>
      </c>
      <c r="F185" s="457">
        <v>40000</v>
      </c>
      <c r="G185" s="505">
        <v>100</v>
      </c>
      <c r="H185" s="505">
        <v>400</v>
      </c>
      <c r="I185" s="506">
        <f>F185/100*400</f>
        <v>160000</v>
      </c>
      <c r="J185" s="691" t="s">
        <v>728</v>
      </c>
      <c r="K185" s="477" t="s">
        <v>712</v>
      </c>
      <c r="L185" s="488" t="s">
        <v>40</v>
      </c>
      <c r="M185" s="479" t="s">
        <v>738</v>
      </c>
      <c r="N185" s="702">
        <f>I185/400</f>
        <v>400</v>
      </c>
      <c r="O185" s="571">
        <f t="shared" si="12"/>
        <v>2800</v>
      </c>
    </row>
    <row r="186" spans="1:15" ht="21" customHeight="1">
      <c r="A186" s="1102"/>
      <c r="B186" s="1102"/>
      <c r="C186" s="1102"/>
      <c r="D186" s="798" t="s">
        <v>896</v>
      </c>
      <c r="E186" s="505"/>
      <c r="F186" s="457">
        <v>1</v>
      </c>
      <c r="G186" s="505"/>
      <c r="H186" s="505">
        <v>18569</v>
      </c>
      <c r="I186" s="506">
        <f>F186*H186</f>
        <v>18569</v>
      </c>
      <c r="J186" s="691" t="s">
        <v>38</v>
      </c>
      <c r="K186" s="477" t="s">
        <v>39</v>
      </c>
      <c r="L186" s="488" t="s">
        <v>40</v>
      </c>
      <c r="M186" s="479"/>
      <c r="N186" s="702" t="s">
        <v>1010</v>
      </c>
      <c r="O186" s="571" t="e">
        <f t="shared" si="12"/>
        <v>#VALUE!</v>
      </c>
    </row>
    <row r="187" spans="1:15" s="533" customFormat="1" ht="34.5" customHeight="1">
      <c r="A187" s="1076" t="s">
        <v>190</v>
      </c>
      <c r="B187" s="1077"/>
      <c r="C187" s="1077"/>
      <c r="D187" s="1078"/>
      <c r="E187" s="729"/>
      <c r="F187" s="730"/>
      <c r="G187" s="730"/>
      <c r="H187" s="731"/>
      <c r="I187" s="732">
        <f>SUM(I182:I186)</f>
        <v>346569</v>
      </c>
      <c r="J187" s="732"/>
      <c r="K187" s="735"/>
      <c r="L187" s="732"/>
      <c r="M187" s="732"/>
      <c r="N187" s="732">
        <f>SUM(N182:N186)</f>
        <v>1270</v>
      </c>
      <c r="O187" s="732">
        <f t="shared" si="12"/>
        <v>8890</v>
      </c>
    </row>
    <row r="188" spans="1:15" s="533" customFormat="1" ht="38.25" customHeight="1">
      <c r="A188" s="760" t="s">
        <v>13</v>
      </c>
      <c r="B188" s="760" t="s">
        <v>14</v>
      </c>
      <c r="C188" s="761" t="s">
        <v>15</v>
      </c>
      <c r="D188" s="790" t="s">
        <v>16</v>
      </c>
      <c r="E188" s="529" t="s">
        <v>17</v>
      </c>
      <c r="F188" s="569" t="s">
        <v>18</v>
      </c>
      <c r="G188" s="569" t="s">
        <v>330</v>
      </c>
      <c r="H188" s="563" t="s">
        <v>575</v>
      </c>
      <c r="I188" s="570" t="s">
        <v>774</v>
      </c>
      <c r="J188" s="684" t="s">
        <v>19</v>
      </c>
      <c r="K188" s="563" t="s">
        <v>3</v>
      </c>
      <c r="L188" s="569" t="s">
        <v>21</v>
      </c>
      <c r="M188" s="569" t="s">
        <v>22</v>
      </c>
      <c r="N188" s="700" t="s">
        <v>1058</v>
      </c>
      <c r="O188" s="700" t="s">
        <v>1058</v>
      </c>
    </row>
    <row r="189" spans="1:15" ht="23.25" customHeight="1">
      <c r="A189" s="1123" t="s">
        <v>30</v>
      </c>
      <c r="B189" s="1123" t="s">
        <v>500</v>
      </c>
      <c r="C189" s="1123"/>
      <c r="D189" s="800" t="s">
        <v>316</v>
      </c>
      <c r="E189" s="505" t="s">
        <v>28</v>
      </c>
      <c r="F189" s="457">
        <v>1</v>
      </c>
      <c r="G189" s="505"/>
      <c r="H189" s="505">
        <v>12000</v>
      </c>
      <c r="I189" s="506">
        <f>F189*12000*9</f>
        <v>108000</v>
      </c>
      <c r="J189" s="687" t="s">
        <v>42</v>
      </c>
      <c r="K189" s="480" t="s">
        <v>39</v>
      </c>
      <c r="L189" s="488" t="s">
        <v>40</v>
      </c>
      <c r="M189" s="481" t="s">
        <v>482</v>
      </c>
      <c r="N189" s="702">
        <f>30*9</f>
        <v>270</v>
      </c>
      <c r="O189" s="571">
        <f t="shared" si="12"/>
        <v>1890</v>
      </c>
    </row>
    <row r="190" spans="1:15" ht="23.25" customHeight="1">
      <c r="A190" s="1124"/>
      <c r="B190" s="1124"/>
      <c r="C190" s="1124"/>
      <c r="D190" s="798" t="s">
        <v>671</v>
      </c>
      <c r="E190" s="505" t="s">
        <v>28</v>
      </c>
      <c r="F190" s="457">
        <v>1</v>
      </c>
      <c r="G190" s="505"/>
      <c r="H190" s="505">
        <v>8000</v>
      </c>
      <c r="I190" s="506">
        <f>F190*8000*12</f>
        <v>96000</v>
      </c>
      <c r="J190" s="687" t="s">
        <v>38</v>
      </c>
      <c r="K190" s="480" t="s">
        <v>39</v>
      </c>
      <c r="L190" s="488" t="s">
        <v>40</v>
      </c>
      <c r="M190" s="477" t="s">
        <v>43</v>
      </c>
      <c r="N190" s="702">
        <f>1*360</f>
        <v>360</v>
      </c>
      <c r="O190" s="571">
        <f t="shared" si="12"/>
        <v>2520</v>
      </c>
    </row>
    <row r="191" spans="1:15" ht="23.25" customHeight="1">
      <c r="A191" s="1124"/>
      <c r="B191" s="1124"/>
      <c r="C191" s="1124"/>
      <c r="D191" s="798" t="s">
        <v>489</v>
      </c>
      <c r="E191" s="510" t="s">
        <v>44</v>
      </c>
      <c r="F191" s="457">
        <v>1</v>
      </c>
      <c r="G191" s="505"/>
      <c r="H191" s="505">
        <v>10000</v>
      </c>
      <c r="I191" s="506">
        <f>F191*H191</f>
        <v>10000</v>
      </c>
      <c r="J191" s="687" t="s">
        <v>42</v>
      </c>
      <c r="K191" s="480" t="s">
        <v>700</v>
      </c>
      <c r="L191" s="488" t="s">
        <v>40</v>
      </c>
      <c r="M191" s="477" t="s">
        <v>43</v>
      </c>
      <c r="N191" s="702"/>
      <c r="O191" s="571">
        <f t="shared" si="12"/>
        <v>0</v>
      </c>
    </row>
    <row r="192" spans="1:15" ht="23.25" customHeight="1">
      <c r="A192" s="1124"/>
      <c r="B192" s="1124"/>
      <c r="C192" s="1124"/>
      <c r="D192" s="749" t="s">
        <v>897</v>
      </c>
      <c r="E192" s="505" t="s">
        <v>28</v>
      </c>
      <c r="F192" s="457">
        <v>20</v>
      </c>
      <c r="G192" s="505"/>
      <c r="H192" s="505">
        <v>3000</v>
      </c>
      <c r="I192" s="506">
        <f t="shared" ref="I192" si="17">F192*H192</f>
        <v>60000</v>
      </c>
      <c r="J192" s="692" t="s">
        <v>488</v>
      </c>
      <c r="K192" s="477" t="s">
        <v>39</v>
      </c>
      <c r="L192" s="488" t="s">
        <v>40</v>
      </c>
      <c r="M192" s="477" t="s">
        <v>43</v>
      </c>
      <c r="N192" s="702">
        <v>20</v>
      </c>
      <c r="O192" s="571">
        <f t="shared" si="12"/>
        <v>140</v>
      </c>
    </row>
    <row r="193" spans="1:15" ht="23.25" customHeight="1">
      <c r="A193" s="1124"/>
      <c r="B193" s="1124"/>
      <c r="C193" s="1124"/>
      <c r="D193" s="750" t="s">
        <v>490</v>
      </c>
      <c r="E193" s="524" t="s">
        <v>481</v>
      </c>
      <c r="F193" s="753">
        <v>50</v>
      </c>
      <c r="G193" s="497"/>
      <c r="H193" s="497"/>
      <c r="I193" s="506"/>
      <c r="J193" s="690" t="s">
        <v>488</v>
      </c>
      <c r="K193" s="480" t="s">
        <v>39</v>
      </c>
      <c r="L193" s="486" t="s">
        <v>40</v>
      </c>
      <c r="M193" s="480" t="s">
        <v>43</v>
      </c>
      <c r="N193" s="703"/>
      <c r="O193" s="571">
        <f t="shared" si="12"/>
        <v>0</v>
      </c>
    </row>
    <row r="194" spans="1:15" ht="23.25" customHeight="1">
      <c r="A194" s="1124"/>
      <c r="B194" s="1124"/>
      <c r="C194" s="1124"/>
      <c r="D194" s="798" t="s">
        <v>491</v>
      </c>
      <c r="E194" s="497" t="s">
        <v>54</v>
      </c>
      <c r="F194" s="753">
        <v>60000</v>
      </c>
      <c r="G194" s="456">
        <v>500</v>
      </c>
      <c r="H194" s="456">
        <v>400</v>
      </c>
      <c r="I194" s="506">
        <f>F194/G194*H194</f>
        <v>48000</v>
      </c>
      <c r="J194" s="690" t="s">
        <v>713</v>
      </c>
      <c r="K194" s="480" t="s">
        <v>714</v>
      </c>
      <c r="L194" s="486" t="s">
        <v>40</v>
      </c>
      <c r="M194" s="480" t="s">
        <v>43</v>
      </c>
      <c r="N194" s="703">
        <f>I194/400</f>
        <v>120</v>
      </c>
      <c r="O194" s="571">
        <f t="shared" si="12"/>
        <v>840</v>
      </c>
    </row>
    <row r="195" spans="1:15" ht="22.5" customHeight="1">
      <c r="A195" s="1124"/>
      <c r="B195" s="1124"/>
      <c r="C195" s="1124"/>
      <c r="D195" s="798" t="s">
        <v>492</v>
      </c>
      <c r="E195" s="497" t="s">
        <v>54</v>
      </c>
      <c r="F195" s="753">
        <v>60000</v>
      </c>
      <c r="G195" s="456">
        <v>300</v>
      </c>
      <c r="H195" s="456">
        <v>400</v>
      </c>
      <c r="I195" s="506">
        <f>F195/G195*H195</f>
        <v>80000</v>
      </c>
      <c r="J195" s="690" t="s">
        <v>713</v>
      </c>
      <c r="K195" s="480" t="s">
        <v>714</v>
      </c>
      <c r="L195" s="486" t="s">
        <v>40</v>
      </c>
      <c r="M195" s="480" t="s">
        <v>43</v>
      </c>
      <c r="N195" s="703">
        <f>I195/400</f>
        <v>200</v>
      </c>
      <c r="O195" s="571">
        <f t="shared" si="12"/>
        <v>1400</v>
      </c>
    </row>
    <row r="196" spans="1:15" ht="23.25" customHeight="1">
      <c r="A196" s="1124"/>
      <c r="B196" s="1124"/>
      <c r="C196" s="1124"/>
      <c r="D196" s="798" t="s">
        <v>715</v>
      </c>
      <c r="E196" s="497" t="s">
        <v>25</v>
      </c>
      <c r="F196" s="753">
        <v>50000</v>
      </c>
      <c r="G196" s="456">
        <v>100</v>
      </c>
      <c r="H196" s="456">
        <v>400</v>
      </c>
      <c r="I196" s="712">
        <f>F196/G196*H196</f>
        <v>200000</v>
      </c>
      <c r="J196" s="690" t="s">
        <v>710</v>
      </c>
      <c r="K196" s="480" t="s">
        <v>586</v>
      </c>
      <c r="L196" s="486" t="s">
        <v>40</v>
      </c>
      <c r="M196" s="480" t="s">
        <v>43</v>
      </c>
      <c r="N196" s="703">
        <f>I196/400</f>
        <v>500</v>
      </c>
      <c r="O196" s="571">
        <f t="shared" si="12"/>
        <v>3500</v>
      </c>
    </row>
    <row r="197" spans="1:15" ht="31.5" customHeight="1">
      <c r="A197" s="1124"/>
      <c r="B197" s="1124"/>
      <c r="C197" s="1124"/>
      <c r="D197" s="798" t="s">
        <v>716</v>
      </c>
      <c r="E197" s="497" t="s">
        <v>45</v>
      </c>
      <c r="F197" s="753">
        <v>1</v>
      </c>
      <c r="G197" s="497"/>
      <c r="H197" s="456">
        <v>100000</v>
      </c>
      <c r="I197" s="506">
        <f>F197*H197</f>
        <v>100000</v>
      </c>
      <c r="J197" s="690" t="s">
        <v>717</v>
      </c>
      <c r="K197" s="480" t="s">
        <v>698</v>
      </c>
      <c r="L197" s="486" t="s">
        <v>40</v>
      </c>
      <c r="M197" s="480" t="s">
        <v>43</v>
      </c>
      <c r="N197" s="703">
        <v>0</v>
      </c>
      <c r="O197" s="571">
        <f t="shared" si="12"/>
        <v>0</v>
      </c>
    </row>
    <row r="198" spans="1:15" ht="23.25" customHeight="1">
      <c r="A198" s="1124"/>
      <c r="B198" s="1124"/>
      <c r="C198" s="1124"/>
      <c r="D198" s="798" t="s">
        <v>493</v>
      </c>
      <c r="E198" s="497" t="s">
        <v>36</v>
      </c>
      <c r="F198" s="753">
        <v>50000</v>
      </c>
      <c r="G198" s="456">
        <v>80</v>
      </c>
      <c r="H198" s="456">
        <v>400</v>
      </c>
      <c r="I198" s="506">
        <f>F198/80*400</f>
        <v>250000</v>
      </c>
      <c r="J198" s="690" t="s">
        <v>710</v>
      </c>
      <c r="K198" s="480" t="s">
        <v>586</v>
      </c>
      <c r="L198" s="486" t="s">
        <v>40</v>
      </c>
      <c r="M198" s="480" t="s">
        <v>43</v>
      </c>
      <c r="N198" s="703">
        <f>I198/400</f>
        <v>625</v>
      </c>
      <c r="O198" s="571">
        <f t="shared" si="12"/>
        <v>4375</v>
      </c>
    </row>
    <row r="199" spans="1:15" ht="23.25" customHeight="1">
      <c r="A199" s="1124"/>
      <c r="B199" s="1124"/>
      <c r="C199" s="1124"/>
      <c r="D199" s="798" t="s">
        <v>494</v>
      </c>
      <c r="E199" s="497" t="s">
        <v>25</v>
      </c>
      <c r="F199" s="753">
        <v>50000</v>
      </c>
      <c r="G199" s="456">
        <v>80</v>
      </c>
      <c r="H199" s="456">
        <v>400</v>
      </c>
      <c r="I199" s="712">
        <f>F199/80*400</f>
        <v>250000</v>
      </c>
      <c r="J199" s="690" t="s">
        <v>710</v>
      </c>
      <c r="K199" s="480" t="s">
        <v>586</v>
      </c>
      <c r="L199" s="486" t="s">
        <v>40</v>
      </c>
      <c r="M199" s="480" t="s">
        <v>43</v>
      </c>
      <c r="N199" s="703">
        <f>I199/400</f>
        <v>625</v>
      </c>
      <c r="O199" s="571">
        <f t="shared" si="12"/>
        <v>4375</v>
      </c>
    </row>
    <row r="200" spans="1:15" ht="23.25" customHeight="1">
      <c r="A200" s="1124"/>
      <c r="B200" s="1124"/>
      <c r="C200" s="1124"/>
      <c r="D200" s="798" t="s">
        <v>746</v>
      </c>
      <c r="E200" s="497" t="s">
        <v>26</v>
      </c>
      <c r="F200" s="753">
        <f>50000*20</f>
        <v>1000000</v>
      </c>
      <c r="G200" s="497"/>
      <c r="H200" s="504">
        <v>0.2</v>
      </c>
      <c r="I200" s="506">
        <f>F200*0.2</f>
        <v>200000</v>
      </c>
      <c r="J200" s="690" t="s">
        <v>710</v>
      </c>
      <c r="K200" s="480" t="s">
        <v>719</v>
      </c>
      <c r="L200" s="486" t="s">
        <v>40</v>
      </c>
      <c r="M200" s="480" t="s">
        <v>43</v>
      </c>
      <c r="N200" s="703">
        <v>0</v>
      </c>
      <c r="O200" s="571">
        <f t="shared" si="12"/>
        <v>0</v>
      </c>
    </row>
    <row r="201" spans="1:15" ht="23.25" customHeight="1">
      <c r="A201" s="1124"/>
      <c r="B201" s="1124"/>
      <c r="C201" s="1124"/>
      <c r="D201" s="798" t="s">
        <v>720</v>
      </c>
      <c r="E201" s="497" t="s">
        <v>25</v>
      </c>
      <c r="F201" s="753">
        <v>50000</v>
      </c>
      <c r="G201" s="456">
        <v>50</v>
      </c>
      <c r="H201" s="456">
        <v>400</v>
      </c>
      <c r="I201" s="506">
        <f>F201/G201*H201</f>
        <v>400000</v>
      </c>
      <c r="J201" s="690" t="s">
        <v>710</v>
      </c>
      <c r="K201" s="480" t="s">
        <v>719</v>
      </c>
      <c r="L201" s="486" t="s">
        <v>40</v>
      </c>
      <c r="M201" s="480" t="s">
        <v>43</v>
      </c>
      <c r="N201" s="703">
        <f>I201/400</f>
        <v>1000</v>
      </c>
      <c r="O201" s="571">
        <f t="shared" si="12"/>
        <v>7000</v>
      </c>
    </row>
    <row r="202" spans="1:15" ht="23.25" customHeight="1">
      <c r="A202" s="1124"/>
      <c r="B202" s="1124"/>
      <c r="C202" s="1124"/>
      <c r="D202" s="750" t="s">
        <v>736</v>
      </c>
      <c r="E202" s="524" t="s">
        <v>707</v>
      </c>
      <c r="F202" s="753">
        <v>40000</v>
      </c>
      <c r="G202" s="456">
        <v>100</v>
      </c>
      <c r="H202" s="456">
        <v>400</v>
      </c>
      <c r="I202" s="506">
        <f>F202/G202*H202</f>
        <v>160000</v>
      </c>
      <c r="J202" s="690" t="s">
        <v>722</v>
      </c>
      <c r="K202" s="480" t="s">
        <v>714</v>
      </c>
      <c r="L202" s="486" t="s">
        <v>40</v>
      </c>
      <c r="M202" s="480" t="s">
        <v>43</v>
      </c>
      <c r="N202" s="703">
        <f>I202/400</f>
        <v>400</v>
      </c>
      <c r="O202" s="571">
        <f t="shared" si="12"/>
        <v>2800</v>
      </c>
    </row>
    <row r="203" spans="1:15" ht="23.25" customHeight="1">
      <c r="A203" s="1124"/>
      <c r="B203" s="1124"/>
      <c r="C203" s="1124"/>
      <c r="D203" s="798" t="s">
        <v>723</v>
      </c>
      <c r="E203" s="497" t="s">
        <v>336</v>
      </c>
      <c r="F203" s="502">
        <v>15</v>
      </c>
      <c r="G203" s="497"/>
      <c r="H203" s="456">
        <v>500</v>
      </c>
      <c r="I203" s="506">
        <f>F203*H203</f>
        <v>7500</v>
      </c>
      <c r="J203" s="690" t="s">
        <v>38</v>
      </c>
      <c r="K203" s="480" t="s">
        <v>724</v>
      </c>
      <c r="L203" s="486" t="s">
        <v>40</v>
      </c>
      <c r="M203" s="480" t="s">
        <v>43</v>
      </c>
      <c r="N203" s="703">
        <v>0</v>
      </c>
      <c r="O203" s="571">
        <f t="shared" si="12"/>
        <v>0</v>
      </c>
    </row>
    <row r="204" spans="1:15" ht="23.25" customHeight="1">
      <c r="A204" s="1124"/>
      <c r="B204" s="1124"/>
      <c r="C204" s="1124"/>
      <c r="D204" s="798" t="s">
        <v>725</v>
      </c>
      <c r="E204" s="497" t="s">
        <v>707</v>
      </c>
      <c r="F204" s="502">
        <v>20000</v>
      </c>
      <c r="G204" s="456">
        <v>4000</v>
      </c>
      <c r="H204" s="456">
        <v>400</v>
      </c>
      <c r="I204" s="506">
        <f>F204/G204*H204</f>
        <v>2000</v>
      </c>
      <c r="J204" s="690" t="s">
        <v>714</v>
      </c>
      <c r="K204" s="480" t="s">
        <v>699</v>
      </c>
      <c r="L204" s="486" t="s">
        <v>40</v>
      </c>
      <c r="M204" s="480" t="s">
        <v>43</v>
      </c>
      <c r="N204" s="703">
        <f>I204/400</f>
        <v>5</v>
      </c>
      <c r="O204" s="571">
        <f t="shared" ref="O204:O273" si="18">N204*7</f>
        <v>35</v>
      </c>
    </row>
    <row r="205" spans="1:15" ht="23.25" customHeight="1">
      <c r="A205" s="1124"/>
      <c r="B205" s="1124"/>
      <c r="C205" s="1124"/>
      <c r="D205" s="798" t="s">
        <v>726</v>
      </c>
      <c r="E205" s="497" t="s">
        <v>27</v>
      </c>
      <c r="F205" s="502">
        <v>200</v>
      </c>
      <c r="G205" s="497"/>
      <c r="H205" s="456">
        <v>80</v>
      </c>
      <c r="I205" s="506">
        <f>F205*H205</f>
        <v>16000</v>
      </c>
      <c r="J205" s="690" t="s">
        <v>714</v>
      </c>
      <c r="K205" s="480" t="s">
        <v>699</v>
      </c>
      <c r="L205" s="486" t="s">
        <v>40</v>
      </c>
      <c r="M205" s="480" t="s">
        <v>43</v>
      </c>
      <c r="N205" s="703">
        <v>0</v>
      </c>
      <c r="O205" s="571">
        <f t="shared" si="18"/>
        <v>0</v>
      </c>
    </row>
    <row r="206" spans="1:15" ht="23.25" customHeight="1">
      <c r="A206" s="1124"/>
      <c r="B206" s="1124"/>
      <c r="C206" s="1124"/>
      <c r="D206" s="548" t="s">
        <v>747</v>
      </c>
      <c r="E206" s="505" t="s">
        <v>707</v>
      </c>
      <c r="F206" s="502">
        <v>20000</v>
      </c>
      <c r="G206" s="505">
        <v>100</v>
      </c>
      <c r="H206" s="505">
        <v>400</v>
      </c>
      <c r="I206" s="506">
        <f>F206/G206*400</f>
        <v>80000</v>
      </c>
      <c r="J206" s="691" t="s">
        <v>728</v>
      </c>
      <c r="K206" s="477" t="s">
        <v>712</v>
      </c>
      <c r="L206" s="486" t="s">
        <v>40</v>
      </c>
      <c r="M206" s="480" t="s">
        <v>43</v>
      </c>
      <c r="N206" s="703">
        <f>I206/400</f>
        <v>200</v>
      </c>
      <c r="O206" s="571">
        <f t="shared" si="18"/>
        <v>1400</v>
      </c>
    </row>
    <row r="207" spans="1:15" ht="23.25" customHeight="1">
      <c r="A207" s="1124"/>
      <c r="B207" s="1124"/>
      <c r="C207" s="1124"/>
      <c r="D207" s="549" t="s">
        <v>729</v>
      </c>
      <c r="E207" s="505" t="s">
        <v>28</v>
      </c>
      <c r="F207" s="457">
        <v>1</v>
      </c>
      <c r="G207" s="505"/>
      <c r="H207" s="505">
        <v>9000</v>
      </c>
      <c r="I207" s="506">
        <f>F207*9000*8</f>
        <v>72000</v>
      </c>
      <c r="J207" s="691" t="s">
        <v>730</v>
      </c>
      <c r="K207" s="477" t="s">
        <v>731</v>
      </c>
      <c r="L207" s="488" t="s">
        <v>40</v>
      </c>
      <c r="M207" s="479" t="s">
        <v>738</v>
      </c>
      <c r="N207" s="702">
        <f>30*2</f>
        <v>60</v>
      </c>
      <c r="O207" s="571">
        <f t="shared" si="18"/>
        <v>420</v>
      </c>
    </row>
    <row r="208" spans="1:15" ht="23.25" customHeight="1">
      <c r="A208" s="1124"/>
      <c r="B208" s="1124"/>
      <c r="C208" s="1124"/>
      <c r="D208" s="801" t="s">
        <v>748</v>
      </c>
      <c r="E208" s="528" t="s">
        <v>481</v>
      </c>
      <c r="F208" s="323">
        <v>10</v>
      </c>
      <c r="G208" s="505"/>
      <c r="H208" s="456"/>
      <c r="I208" s="506">
        <v>0</v>
      </c>
      <c r="J208" s="691" t="s">
        <v>38</v>
      </c>
      <c r="K208" s="477" t="s">
        <v>39</v>
      </c>
      <c r="L208" s="488" t="s">
        <v>40</v>
      </c>
      <c r="M208" s="480" t="s">
        <v>43</v>
      </c>
      <c r="N208" s="702"/>
      <c r="O208" s="571">
        <f t="shared" si="18"/>
        <v>0</v>
      </c>
    </row>
    <row r="209" spans="1:15" ht="23.25" customHeight="1">
      <c r="A209" s="1124"/>
      <c r="B209" s="1124"/>
      <c r="C209" s="1124"/>
      <c r="D209" s="802" t="s">
        <v>898</v>
      </c>
      <c r="E209" s="511" t="s">
        <v>54</v>
      </c>
      <c r="F209" s="512">
        <v>50000</v>
      </c>
      <c r="G209" s="530">
        <v>125</v>
      </c>
      <c r="H209" s="513">
        <v>400</v>
      </c>
      <c r="I209" s="506">
        <f>F209/G209*H209</f>
        <v>160000</v>
      </c>
      <c r="J209" s="687" t="s">
        <v>483</v>
      </c>
      <c r="K209" s="480" t="s">
        <v>586</v>
      </c>
      <c r="L209" s="488" t="s">
        <v>40</v>
      </c>
      <c r="M209" s="480" t="s">
        <v>43</v>
      </c>
      <c r="N209" s="702">
        <f>I209/400</f>
        <v>400</v>
      </c>
      <c r="O209" s="571">
        <f t="shared" si="18"/>
        <v>2800</v>
      </c>
    </row>
    <row r="210" spans="1:15" ht="23.25" customHeight="1">
      <c r="A210" s="1124"/>
      <c r="B210" s="1124"/>
      <c r="C210" s="1124"/>
      <c r="D210" s="549" t="s">
        <v>52</v>
      </c>
      <c r="E210" s="505" t="s">
        <v>26</v>
      </c>
      <c r="F210" s="457">
        <f>1*50000</f>
        <v>50000</v>
      </c>
      <c r="G210" s="530"/>
      <c r="H210" s="514">
        <v>0.2</v>
      </c>
      <c r="I210" s="506">
        <f>F210*H210</f>
        <v>10000</v>
      </c>
      <c r="J210" s="687" t="s">
        <v>710</v>
      </c>
      <c r="K210" s="480" t="s">
        <v>39</v>
      </c>
      <c r="L210" s="488" t="s">
        <v>40</v>
      </c>
      <c r="M210" s="480" t="s">
        <v>43</v>
      </c>
      <c r="N210" s="702">
        <v>0</v>
      </c>
      <c r="O210" s="571">
        <f t="shared" si="18"/>
        <v>0</v>
      </c>
    </row>
    <row r="211" spans="1:15" ht="23.25" customHeight="1">
      <c r="A211" s="1124"/>
      <c r="B211" s="1124"/>
      <c r="C211" s="1124"/>
      <c r="D211" s="549" t="s">
        <v>749</v>
      </c>
      <c r="E211" s="505" t="s">
        <v>26</v>
      </c>
      <c r="F211" s="457">
        <f>1*50000</f>
        <v>50000</v>
      </c>
      <c r="G211" s="530">
        <v>250</v>
      </c>
      <c r="H211" s="513">
        <v>400</v>
      </c>
      <c r="I211" s="506">
        <f>F211/G211*H211</f>
        <v>80000</v>
      </c>
      <c r="J211" s="687" t="s">
        <v>711</v>
      </c>
      <c r="K211" s="480" t="s">
        <v>712</v>
      </c>
      <c r="L211" s="488" t="s">
        <v>40</v>
      </c>
      <c r="M211" s="480" t="s">
        <v>43</v>
      </c>
      <c r="N211" s="702">
        <f>I211/400</f>
        <v>200</v>
      </c>
      <c r="O211" s="571">
        <f t="shared" si="18"/>
        <v>1400</v>
      </c>
    </row>
    <row r="212" spans="1:15" ht="23.25" customHeight="1">
      <c r="A212" s="1124"/>
      <c r="B212" s="1124"/>
      <c r="C212" s="1124"/>
      <c r="D212" s="549" t="s">
        <v>49</v>
      </c>
      <c r="E212" s="505" t="s">
        <v>51</v>
      </c>
      <c r="F212" s="457">
        <v>15</v>
      </c>
      <c r="G212" s="505"/>
      <c r="H212" s="456">
        <v>4000</v>
      </c>
      <c r="I212" s="506">
        <f>F212*H212</f>
        <v>60000</v>
      </c>
      <c r="J212" s="687" t="s">
        <v>711</v>
      </c>
      <c r="K212" s="480" t="s">
        <v>712</v>
      </c>
      <c r="L212" s="488" t="s">
        <v>40</v>
      </c>
      <c r="M212" s="480" t="s">
        <v>43</v>
      </c>
      <c r="N212" s="702">
        <v>0</v>
      </c>
      <c r="O212" s="571">
        <f t="shared" si="18"/>
        <v>0</v>
      </c>
    </row>
    <row r="213" spans="1:15" ht="23.25" customHeight="1">
      <c r="A213" s="1124"/>
      <c r="B213" s="1124"/>
      <c r="C213" s="1124"/>
      <c r="D213" s="799" t="s">
        <v>50</v>
      </c>
      <c r="E213" s="505" t="s">
        <v>51</v>
      </c>
      <c r="F213" s="457">
        <v>12</v>
      </c>
      <c r="G213" s="505"/>
      <c r="H213" s="505">
        <v>300</v>
      </c>
      <c r="I213" s="506">
        <f>F213*H213</f>
        <v>3600</v>
      </c>
      <c r="J213" s="687" t="s">
        <v>710</v>
      </c>
      <c r="K213" s="480" t="s">
        <v>586</v>
      </c>
      <c r="L213" s="488" t="s">
        <v>40</v>
      </c>
      <c r="M213" s="480" t="s">
        <v>43</v>
      </c>
      <c r="N213" s="702">
        <v>0</v>
      </c>
      <c r="O213" s="571">
        <f t="shared" si="18"/>
        <v>0</v>
      </c>
    </row>
    <row r="214" spans="1:15" ht="23.25" customHeight="1">
      <c r="A214" s="1124"/>
      <c r="B214" s="1124"/>
      <c r="C214" s="1124"/>
      <c r="D214" s="551" t="s">
        <v>750</v>
      </c>
      <c r="E214" s="505" t="s">
        <v>26</v>
      </c>
      <c r="F214" s="457">
        <v>200</v>
      </c>
      <c r="G214" s="505"/>
      <c r="H214" s="505">
        <v>50</v>
      </c>
      <c r="I214" s="506">
        <f>F214*H214</f>
        <v>10000</v>
      </c>
      <c r="J214" s="691" t="s">
        <v>38</v>
      </c>
      <c r="K214" s="477" t="s">
        <v>39</v>
      </c>
      <c r="L214" s="488" t="s">
        <v>40</v>
      </c>
      <c r="M214" s="480" t="s">
        <v>43</v>
      </c>
      <c r="N214" s="702">
        <v>0</v>
      </c>
      <c r="O214" s="571">
        <f t="shared" si="18"/>
        <v>0</v>
      </c>
    </row>
    <row r="215" spans="1:15" ht="23.25" customHeight="1">
      <c r="A215" s="1125"/>
      <c r="B215" s="1125"/>
      <c r="C215" s="1125"/>
      <c r="D215" s="798" t="s">
        <v>896</v>
      </c>
      <c r="E215" s="505"/>
      <c r="F215" s="457">
        <v>1</v>
      </c>
      <c r="G215" s="505"/>
      <c r="H215" s="505">
        <v>18569</v>
      </c>
      <c r="I215" s="712">
        <f>F215*H215</f>
        <v>18569</v>
      </c>
      <c r="J215" s="691" t="s">
        <v>38</v>
      </c>
      <c r="K215" s="477" t="s">
        <v>39</v>
      </c>
      <c r="L215" s="488" t="s">
        <v>40</v>
      </c>
      <c r="M215" s="480" t="s">
        <v>43</v>
      </c>
      <c r="N215" s="702">
        <v>0</v>
      </c>
      <c r="O215" s="571">
        <f t="shared" si="18"/>
        <v>0</v>
      </c>
    </row>
    <row r="216" spans="1:15" s="533" customFormat="1" ht="34.5" customHeight="1">
      <c r="A216" s="1076" t="s">
        <v>190</v>
      </c>
      <c r="B216" s="1077"/>
      <c r="C216" s="1077"/>
      <c r="D216" s="1078"/>
      <c r="E216" s="729"/>
      <c r="F216" s="730"/>
      <c r="G216" s="730"/>
      <c r="H216" s="731"/>
      <c r="I216" s="732">
        <f>SUM(I189:I215)</f>
        <v>2481669</v>
      </c>
      <c r="J216" s="732"/>
      <c r="K216" s="735"/>
      <c r="L216" s="732"/>
      <c r="M216" s="732"/>
      <c r="N216" s="732">
        <f>SUM(N189:N215)</f>
        <v>4985</v>
      </c>
      <c r="O216" s="732">
        <f t="shared" si="18"/>
        <v>34895</v>
      </c>
    </row>
    <row r="217" spans="1:15" s="533" customFormat="1" ht="38.25" customHeight="1">
      <c r="A217" s="760" t="s">
        <v>13</v>
      </c>
      <c r="B217" s="760" t="s">
        <v>14</v>
      </c>
      <c r="C217" s="761" t="s">
        <v>15</v>
      </c>
      <c r="D217" s="790" t="s">
        <v>16</v>
      </c>
      <c r="E217" s="529" t="s">
        <v>17</v>
      </c>
      <c r="F217" s="569" t="s">
        <v>18</v>
      </c>
      <c r="G217" s="569" t="s">
        <v>330</v>
      </c>
      <c r="H217" s="563" t="s">
        <v>575</v>
      </c>
      <c r="I217" s="570" t="s">
        <v>774</v>
      </c>
      <c r="J217" s="684" t="s">
        <v>19</v>
      </c>
      <c r="K217" s="563" t="s">
        <v>3</v>
      </c>
      <c r="L217" s="569" t="s">
        <v>21</v>
      </c>
      <c r="M217" s="569" t="s">
        <v>22</v>
      </c>
      <c r="N217" s="700" t="s">
        <v>1058</v>
      </c>
      <c r="O217" s="700" t="s">
        <v>1058</v>
      </c>
    </row>
    <row r="218" spans="1:15" ht="19.5" customHeight="1">
      <c r="A218" s="1123" t="s">
        <v>263</v>
      </c>
      <c r="B218" s="1123" t="s">
        <v>875</v>
      </c>
      <c r="C218" s="1123" t="s">
        <v>876</v>
      </c>
      <c r="D218" s="798" t="s">
        <v>671</v>
      </c>
      <c r="E218" s="497" t="s">
        <v>28</v>
      </c>
      <c r="F218" s="502">
        <v>1</v>
      </c>
      <c r="G218" s="497"/>
      <c r="H218" s="456">
        <v>8000</v>
      </c>
      <c r="I218" s="506">
        <f>F218*12*8000</f>
        <v>96000</v>
      </c>
      <c r="J218" s="690" t="s">
        <v>38</v>
      </c>
      <c r="K218" s="480" t="s">
        <v>39</v>
      </c>
      <c r="L218" s="486" t="s">
        <v>40</v>
      </c>
      <c r="M218" s="480" t="s">
        <v>43</v>
      </c>
      <c r="N218" s="702">
        <f>30*12</f>
        <v>360</v>
      </c>
      <c r="O218" s="571">
        <f t="shared" si="18"/>
        <v>2520</v>
      </c>
    </row>
    <row r="219" spans="1:15" ht="29.25" customHeight="1">
      <c r="A219" s="1124"/>
      <c r="B219" s="1124"/>
      <c r="C219" s="1124"/>
      <c r="D219" s="750" t="s">
        <v>701</v>
      </c>
      <c r="E219" s="524" t="s">
        <v>481</v>
      </c>
      <c r="F219" s="751">
        <v>40</v>
      </c>
      <c r="G219" s="497"/>
      <c r="H219" s="497"/>
      <c r="I219" s="752"/>
      <c r="J219" s="687" t="s">
        <v>484</v>
      </c>
      <c r="K219" s="482" t="s">
        <v>485</v>
      </c>
      <c r="L219" s="486" t="s">
        <v>40</v>
      </c>
      <c r="M219" s="480" t="s">
        <v>43</v>
      </c>
      <c r="N219" s="702"/>
      <c r="O219" s="571">
        <f t="shared" si="18"/>
        <v>0</v>
      </c>
    </row>
    <row r="220" spans="1:15" ht="19.5" customHeight="1">
      <c r="A220" s="1124"/>
      <c r="B220" s="1124"/>
      <c r="C220" s="1124"/>
      <c r="D220" s="798" t="s">
        <v>490</v>
      </c>
      <c r="E220" s="497" t="s">
        <v>481</v>
      </c>
      <c r="F220" s="753">
        <v>50</v>
      </c>
      <c r="G220" s="497"/>
      <c r="H220" s="497"/>
      <c r="I220" s="752"/>
      <c r="J220" s="690" t="s">
        <v>488</v>
      </c>
      <c r="K220" s="480" t="s">
        <v>39</v>
      </c>
      <c r="L220" s="486" t="s">
        <v>40</v>
      </c>
      <c r="M220" s="480" t="s">
        <v>43</v>
      </c>
      <c r="N220" s="703"/>
      <c r="O220" s="571">
        <f t="shared" si="18"/>
        <v>0</v>
      </c>
    </row>
    <row r="221" spans="1:15" ht="19.5" customHeight="1">
      <c r="A221" s="1124"/>
      <c r="B221" s="1124"/>
      <c r="C221" s="1124"/>
      <c r="D221" s="798" t="s">
        <v>491</v>
      </c>
      <c r="E221" s="497" t="s">
        <v>54</v>
      </c>
      <c r="F221" s="753">
        <v>60000</v>
      </c>
      <c r="G221" s="456">
        <v>500</v>
      </c>
      <c r="H221" s="456">
        <v>400</v>
      </c>
      <c r="I221" s="752">
        <f>F221/G221*H221</f>
        <v>48000</v>
      </c>
      <c r="J221" s="690" t="s">
        <v>713</v>
      </c>
      <c r="K221" s="480" t="s">
        <v>714</v>
      </c>
      <c r="L221" s="486" t="s">
        <v>40</v>
      </c>
      <c r="M221" s="480" t="s">
        <v>43</v>
      </c>
      <c r="N221" s="703">
        <f>I221/400</f>
        <v>120</v>
      </c>
      <c r="O221" s="571">
        <f t="shared" si="18"/>
        <v>840</v>
      </c>
    </row>
    <row r="222" spans="1:15" ht="27" customHeight="1">
      <c r="A222" s="1124"/>
      <c r="B222" s="1124"/>
      <c r="C222" s="1124"/>
      <c r="D222" s="798" t="s">
        <v>492</v>
      </c>
      <c r="E222" s="497" t="s">
        <v>54</v>
      </c>
      <c r="F222" s="753">
        <v>60000</v>
      </c>
      <c r="G222" s="456">
        <v>300</v>
      </c>
      <c r="H222" s="456">
        <v>400</v>
      </c>
      <c r="I222" s="752">
        <f>F222/G222*H222</f>
        <v>80000</v>
      </c>
      <c r="J222" s="690" t="s">
        <v>713</v>
      </c>
      <c r="K222" s="480" t="s">
        <v>714</v>
      </c>
      <c r="L222" s="486" t="s">
        <v>40</v>
      </c>
      <c r="M222" s="480" t="s">
        <v>43</v>
      </c>
      <c r="N222" s="703">
        <f t="shared" ref="N222:N223" si="19">I222/400</f>
        <v>200</v>
      </c>
      <c r="O222" s="571">
        <f t="shared" si="18"/>
        <v>1400</v>
      </c>
    </row>
    <row r="223" spans="1:15" ht="19.5" customHeight="1">
      <c r="A223" s="1124"/>
      <c r="B223" s="1124"/>
      <c r="C223" s="1124"/>
      <c r="D223" s="798" t="s">
        <v>715</v>
      </c>
      <c r="E223" s="497" t="s">
        <v>25</v>
      </c>
      <c r="F223" s="753">
        <v>50000</v>
      </c>
      <c r="G223" s="456">
        <v>100</v>
      </c>
      <c r="H223" s="456">
        <v>400</v>
      </c>
      <c r="I223" s="754">
        <f>F223/G223*H223</f>
        <v>200000</v>
      </c>
      <c r="J223" s="690" t="s">
        <v>710</v>
      </c>
      <c r="K223" s="480" t="s">
        <v>586</v>
      </c>
      <c r="L223" s="486" t="s">
        <v>40</v>
      </c>
      <c r="M223" s="480" t="s">
        <v>43</v>
      </c>
      <c r="N223" s="703">
        <f t="shared" si="19"/>
        <v>500</v>
      </c>
      <c r="O223" s="571">
        <f t="shared" si="18"/>
        <v>3500</v>
      </c>
    </row>
    <row r="224" spans="1:15" ht="28.5" customHeight="1">
      <c r="A224" s="1124"/>
      <c r="B224" s="1124"/>
      <c r="C224" s="1124"/>
      <c r="D224" s="798" t="s">
        <v>716</v>
      </c>
      <c r="E224" s="497" t="s">
        <v>45</v>
      </c>
      <c r="F224" s="753">
        <v>1</v>
      </c>
      <c r="G224" s="497"/>
      <c r="H224" s="456">
        <v>100000</v>
      </c>
      <c r="I224" s="752">
        <f>F224*H224</f>
        <v>100000</v>
      </c>
      <c r="J224" s="690" t="s">
        <v>717</v>
      </c>
      <c r="K224" s="480" t="s">
        <v>698</v>
      </c>
      <c r="L224" s="486" t="s">
        <v>40</v>
      </c>
      <c r="M224" s="480" t="s">
        <v>43</v>
      </c>
      <c r="N224" s="703">
        <v>0</v>
      </c>
      <c r="O224" s="571">
        <f t="shared" si="18"/>
        <v>0</v>
      </c>
    </row>
    <row r="225" spans="1:15" ht="19.5" customHeight="1">
      <c r="A225" s="1124"/>
      <c r="B225" s="1124"/>
      <c r="C225" s="1124"/>
      <c r="D225" s="798" t="s">
        <v>493</v>
      </c>
      <c r="E225" s="497" t="s">
        <v>36</v>
      </c>
      <c r="F225" s="753">
        <v>50000</v>
      </c>
      <c r="G225" s="456">
        <v>80</v>
      </c>
      <c r="H225" s="456">
        <v>400</v>
      </c>
      <c r="I225" s="752">
        <f>F225/80*400</f>
        <v>250000</v>
      </c>
      <c r="J225" s="690" t="s">
        <v>710</v>
      </c>
      <c r="K225" s="480" t="s">
        <v>586</v>
      </c>
      <c r="L225" s="486" t="s">
        <v>40</v>
      </c>
      <c r="M225" s="480" t="s">
        <v>43</v>
      </c>
      <c r="N225" s="703">
        <f>I225/400</f>
        <v>625</v>
      </c>
      <c r="O225" s="571">
        <f t="shared" si="18"/>
        <v>4375</v>
      </c>
    </row>
    <row r="226" spans="1:15" ht="19.5" customHeight="1">
      <c r="A226" s="1124"/>
      <c r="B226" s="1124"/>
      <c r="C226" s="1124"/>
      <c r="D226" s="798" t="s">
        <v>494</v>
      </c>
      <c r="E226" s="497" t="s">
        <v>25</v>
      </c>
      <c r="F226" s="753">
        <v>50000</v>
      </c>
      <c r="G226" s="456">
        <v>80</v>
      </c>
      <c r="H226" s="456">
        <v>400</v>
      </c>
      <c r="I226" s="754">
        <f>F226/80*400</f>
        <v>250000</v>
      </c>
      <c r="J226" s="690" t="s">
        <v>710</v>
      </c>
      <c r="K226" s="480" t="s">
        <v>586</v>
      </c>
      <c r="L226" s="486" t="s">
        <v>40</v>
      </c>
      <c r="M226" s="480" t="s">
        <v>43</v>
      </c>
      <c r="N226" s="703">
        <f>I226/400</f>
        <v>625</v>
      </c>
      <c r="O226" s="571">
        <f t="shared" si="18"/>
        <v>4375</v>
      </c>
    </row>
    <row r="227" spans="1:15" ht="19.5" customHeight="1">
      <c r="A227" s="1124"/>
      <c r="B227" s="1124"/>
      <c r="C227" s="1124"/>
      <c r="D227" s="798" t="s">
        <v>746</v>
      </c>
      <c r="E227" s="497" t="s">
        <v>26</v>
      </c>
      <c r="F227" s="753">
        <f>50000*20</f>
        <v>1000000</v>
      </c>
      <c r="G227" s="497"/>
      <c r="H227" s="504">
        <v>0.2</v>
      </c>
      <c r="I227" s="752">
        <f>F227*0.2</f>
        <v>200000</v>
      </c>
      <c r="J227" s="690" t="s">
        <v>710</v>
      </c>
      <c r="K227" s="480" t="s">
        <v>719</v>
      </c>
      <c r="L227" s="486" t="s">
        <v>40</v>
      </c>
      <c r="M227" s="480" t="s">
        <v>43</v>
      </c>
      <c r="N227" s="703">
        <v>0</v>
      </c>
      <c r="O227" s="571">
        <f t="shared" si="18"/>
        <v>0</v>
      </c>
    </row>
    <row r="228" spans="1:15" ht="24" customHeight="1">
      <c r="A228" s="1124"/>
      <c r="B228" s="1124"/>
      <c r="C228" s="1124"/>
      <c r="D228" s="798" t="s">
        <v>720</v>
      </c>
      <c r="E228" s="497" t="s">
        <v>25</v>
      </c>
      <c r="F228" s="753">
        <v>50000</v>
      </c>
      <c r="G228" s="456">
        <v>50</v>
      </c>
      <c r="H228" s="456">
        <v>400</v>
      </c>
      <c r="I228" s="752">
        <f>F228/G228*H228</f>
        <v>400000</v>
      </c>
      <c r="J228" s="690" t="s">
        <v>710</v>
      </c>
      <c r="K228" s="480" t="s">
        <v>719</v>
      </c>
      <c r="L228" s="486" t="s">
        <v>40</v>
      </c>
      <c r="M228" s="480" t="s">
        <v>43</v>
      </c>
      <c r="N228" s="703">
        <f>I228/400</f>
        <v>1000</v>
      </c>
      <c r="O228" s="571">
        <f t="shared" si="18"/>
        <v>7000</v>
      </c>
    </row>
    <row r="229" spans="1:15" ht="29.25" customHeight="1">
      <c r="A229" s="1124"/>
      <c r="B229" s="1124"/>
      <c r="C229" s="1124"/>
      <c r="D229" s="750" t="s">
        <v>751</v>
      </c>
      <c r="E229" s="524" t="s">
        <v>707</v>
      </c>
      <c r="F229" s="753">
        <v>40000</v>
      </c>
      <c r="G229" s="456">
        <v>100</v>
      </c>
      <c r="H229" s="456">
        <v>400</v>
      </c>
      <c r="I229" s="752">
        <f>F229/100*400</f>
        <v>160000</v>
      </c>
      <c r="J229" s="690" t="s">
        <v>722</v>
      </c>
      <c r="K229" s="480" t="s">
        <v>714</v>
      </c>
      <c r="L229" s="486"/>
      <c r="M229" s="480" t="s">
        <v>43</v>
      </c>
      <c r="N229" s="703">
        <f>I229/400</f>
        <v>400</v>
      </c>
      <c r="O229" s="571">
        <f t="shared" si="18"/>
        <v>2800</v>
      </c>
    </row>
    <row r="230" spans="1:15" ht="19.5" customHeight="1">
      <c r="A230" s="1124"/>
      <c r="B230" s="1124"/>
      <c r="C230" s="1124"/>
      <c r="D230" s="798" t="s">
        <v>723</v>
      </c>
      <c r="E230" s="497" t="s">
        <v>336</v>
      </c>
      <c r="F230" s="502">
        <v>15</v>
      </c>
      <c r="G230" s="497"/>
      <c r="H230" s="456">
        <v>500</v>
      </c>
      <c r="I230" s="506">
        <f>F230*500</f>
        <v>7500</v>
      </c>
      <c r="J230" s="690" t="s">
        <v>38</v>
      </c>
      <c r="K230" s="480" t="s">
        <v>724</v>
      </c>
      <c r="L230" s="486"/>
      <c r="M230" s="480" t="s">
        <v>43</v>
      </c>
      <c r="N230" s="703">
        <v>0</v>
      </c>
      <c r="O230" s="571">
        <f t="shared" si="18"/>
        <v>0</v>
      </c>
    </row>
    <row r="231" spans="1:15" ht="33.75" customHeight="1">
      <c r="A231" s="1124"/>
      <c r="B231" s="1124"/>
      <c r="C231" s="1124"/>
      <c r="D231" s="798" t="s">
        <v>752</v>
      </c>
      <c r="E231" s="497" t="s">
        <v>707</v>
      </c>
      <c r="F231" s="502">
        <v>20000</v>
      </c>
      <c r="G231" s="456">
        <v>4000</v>
      </c>
      <c r="H231" s="456">
        <v>400</v>
      </c>
      <c r="I231" s="506">
        <f>F231/4000*400</f>
        <v>2000</v>
      </c>
      <c r="J231" s="690" t="s">
        <v>714</v>
      </c>
      <c r="K231" s="480" t="s">
        <v>699</v>
      </c>
      <c r="L231" s="486"/>
      <c r="M231" s="480" t="s">
        <v>43</v>
      </c>
      <c r="N231" s="703">
        <f>I231/400</f>
        <v>5</v>
      </c>
      <c r="O231" s="571">
        <f t="shared" si="18"/>
        <v>35</v>
      </c>
    </row>
    <row r="232" spans="1:15" ht="19.5" customHeight="1">
      <c r="A232" s="1124"/>
      <c r="B232" s="1124"/>
      <c r="C232" s="1124"/>
      <c r="D232" s="798" t="s">
        <v>726</v>
      </c>
      <c r="E232" s="497" t="s">
        <v>27</v>
      </c>
      <c r="F232" s="502">
        <v>200</v>
      </c>
      <c r="G232" s="497"/>
      <c r="H232" s="456">
        <v>80</v>
      </c>
      <c r="I232" s="506">
        <f>F232*80</f>
        <v>16000</v>
      </c>
      <c r="J232" s="690" t="s">
        <v>714</v>
      </c>
      <c r="K232" s="480" t="s">
        <v>699</v>
      </c>
      <c r="L232" s="486"/>
      <c r="M232" s="480" t="s">
        <v>43</v>
      </c>
      <c r="N232" s="703">
        <v>0</v>
      </c>
      <c r="O232" s="571">
        <f t="shared" si="18"/>
        <v>0</v>
      </c>
    </row>
    <row r="233" spans="1:15" ht="19.5" customHeight="1">
      <c r="A233" s="1124"/>
      <c r="B233" s="1124"/>
      <c r="C233" s="1124"/>
      <c r="D233" s="548" t="s">
        <v>743</v>
      </c>
      <c r="E233" s="505" t="s">
        <v>707</v>
      </c>
      <c r="F233" s="502">
        <v>20000</v>
      </c>
      <c r="G233" s="505">
        <v>100</v>
      </c>
      <c r="H233" s="505">
        <v>400</v>
      </c>
      <c r="I233" s="506">
        <f>F233/100*400</f>
        <v>80000</v>
      </c>
      <c r="J233" s="691" t="s">
        <v>728</v>
      </c>
      <c r="K233" s="477" t="s">
        <v>712</v>
      </c>
      <c r="L233" s="488" t="s">
        <v>40</v>
      </c>
      <c r="M233" s="479" t="s">
        <v>738</v>
      </c>
      <c r="N233" s="702">
        <f>I233/400</f>
        <v>200</v>
      </c>
      <c r="O233" s="571">
        <f t="shared" si="18"/>
        <v>1400</v>
      </c>
    </row>
    <row r="234" spans="1:15" ht="19.5" customHeight="1">
      <c r="A234" s="1124"/>
      <c r="B234" s="1124"/>
      <c r="C234" s="1124"/>
      <c r="D234" s="549" t="s">
        <v>729</v>
      </c>
      <c r="E234" s="505" t="s">
        <v>28</v>
      </c>
      <c r="F234" s="457">
        <v>1</v>
      </c>
      <c r="G234" s="505"/>
      <c r="H234" s="505">
        <v>9000</v>
      </c>
      <c r="I234" s="506">
        <f>F234*9000*8</f>
        <v>72000</v>
      </c>
      <c r="J234" s="691" t="s">
        <v>730</v>
      </c>
      <c r="K234" s="477" t="s">
        <v>731</v>
      </c>
      <c r="L234" s="488" t="s">
        <v>40</v>
      </c>
      <c r="M234" s="479" t="s">
        <v>738</v>
      </c>
      <c r="N234" s="702">
        <f>30*2</f>
        <v>60</v>
      </c>
      <c r="O234" s="571">
        <f t="shared" si="18"/>
        <v>420</v>
      </c>
    </row>
    <row r="235" spans="1:15" ht="19.5" customHeight="1">
      <c r="A235" s="1124"/>
      <c r="B235" s="1124"/>
      <c r="C235" s="1124"/>
      <c r="D235" s="798" t="s">
        <v>753</v>
      </c>
      <c r="E235" s="497" t="s">
        <v>26</v>
      </c>
      <c r="F235" s="498">
        <v>200</v>
      </c>
      <c r="G235" s="497"/>
      <c r="H235" s="456">
        <v>50</v>
      </c>
      <c r="I235" s="509">
        <f>F235*50</f>
        <v>10000</v>
      </c>
      <c r="J235" s="690" t="s">
        <v>488</v>
      </c>
      <c r="K235" s="480" t="s">
        <v>39</v>
      </c>
      <c r="L235" s="486" t="s">
        <v>40</v>
      </c>
      <c r="M235" s="480" t="s">
        <v>43</v>
      </c>
      <c r="N235" s="702">
        <v>0</v>
      </c>
      <c r="O235" s="571">
        <f t="shared" si="18"/>
        <v>0</v>
      </c>
    </row>
    <row r="236" spans="1:15" ht="19.5" customHeight="1">
      <c r="A236" s="1125"/>
      <c r="B236" s="1125"/>
      <c r="C236" s="1125"/>
      <c r="D236" s="798" t="s">
        <v>896</v>
      </c>
      <c r="E236" s="497"/>
      <c r="F236" s="498">
        <v>1</v>
      </c>
      <c r="G236" s="497"/>
      <c r="H236" s="456">
        <v>18569</v>
      </c>
      <c r="I236" s="712">
        <f>F236*H236</f>
        <v>18569</v>
      </c>
      <c r="J236" s="690" t="s">
        <v>488</v>
      </c>
      <c r="K236" s="480" t="s">
        <v>39</v>
      </c>
      <c r="L236" s="486" t="s">
        <v>40</v>
      </c>
      <c r="M236" s="483"/>
      <c r="N236" s="702">
        <v>0</v>
      </c>
      <c r="O236" s="571">
        <f t="shared" si="18"/>
        <v>0</v>
      </c>
    </row>
    <row r="237" spans="1:15" s="533" customFormat="1" ht="34.5" customHeight="1">
      <c r="A237" s="1076" t="s">
        <v>190</v>
      </c>
      <c r="B237" s="1077"/>
      <c r="C237" s="1077"/>
      <c r="D237" s="1078"/>
      <c r="E237" s="729"/>
      <c r="F237" s="730"/>
      <c r="G237" s="730"/>
      <c r="H237" s="731"/>
      <c r="I237" s="732">
        <f>SUM(I218:I236)</f>
        <v>1990069</v>
      </c>
      <c r="J237" s="732"/>
      <c r="K237" s="735"/>
      <c r="L237" s="732"/>
      <c r="M237" s="732"/>
      <c r="N237" s="732">
        <f>SUM(N218:N236)</f>
        <v>4095</v>
      </c>
      <c r="O237" s="732">
        <f t="shared" si="18"/>
        <v>28665</v>
      </c>
    </row>
    <row r="238" spans="1:15" s="533" customFormat="1" ht="38.25" customHeight="1">
      <c r="A238" s="760" t="s">
        <v>13</v>
      </c>
      <c r="B238" s="760" t="s">
        <v>14</v>
      </c>
      <c r="C238" s="761" t="s">
        <v>15</v>
      </c>
      <c r="D238" s="790" t="s">
        <v>16</v>
      </c>
      <c r="E238" s="529" t="s">
        <v>17</v>
      </c>
      <c r="F238" s="569" t="s">
        <v>18</v>
      </c>
      <c r="G238" s="569" t="s">
        <v>330</v>
      </c>
      <c r="H238" s="563" t="s">
        <v>575</v>
      </c>
      <c r="I238" s="570" t="s">
        <v>774</v>
      </c>
      <c r="J238" s="684" t="s">
        <v>19</v>
      </c>
      <c r="K238" s="563" t="s">
        <v>3</v>
      </c>
      <c r="L238" s="569" t="s">
        <v>21</v>
      </c>
      <c r="M238" s="569" t="s">
        <v>22</v>
      </c>
      <c r="N238" s="700" t="s">
        <v>1058</v>
      </c>
      <c r="O238" s="700" t="s">
        <v>1058</v>
      </c>
    </row>
    <row r="239" spans="1:15" ht="25.5" customHeight="1">
      <c r="A239" s="1073" t="s">
        <v>76</v>
      </c>
      <c r="B239" s="1073" t="s">
        <v>878</v>
      </c>
      <c r="C239" s="1073"/>
      <c r="D239" s="803" t="s">
        <v>489</v>
      </c>
      <c r="E239" s="497" t="s">
        <v>44</v>
      </c>
      <c r="F239" s="498">
        <v>1</v>
      </c>
      <c r="G239" s="456"/>
      <c r="H239" s="456">
        <v>10000</v>
      </c>
      <c r="I239" s="506">
        <f>1*10000</f>
        <v>10000</v>
      </c>
      <c r="J239" s="687" t="s">
        <v>38</v>
      </c>
      <c r="K239" s="480" t="s">
        <v>698</v>
      </c>
      <c r="L239" s="486" t="s">
        <v>40</v>
      </c>
      <c r="M239" s="480" t="s">
        <v>43</v>
      </c>
      <c r="N239" s="702"/>
      <c r="O239" s="571">
        <f t="shared" si="18"/>
        <v>0</v>
      </c>
    </row>
    <row r="240" spans="1:15" ht="25.5" customHeight="1">
      <c r="A240" s="1074"/>
      <c r="B240" s="1074"/>
      <c r="C240" s="1074"/>
      <c r="D240" s="749" t="s">
        <v>897</v>
      </c>
      <c r="E240" s="497" t="s">
        <v>28</v>
      </c>
      <c r="F240" s="498">
        <v>1</v>
      </c>
      <c r="G240" s="456"/>
      <c r="H240" s="456">
        <v>3000</v>
      </c>
      <c r="I240" s="506">
        <f>3000*20</f>
        <v>60000</v>
      </c>
      <c r="J240" s="687" t="s">
        <v>699</v>
      </c>
      <c r="K240" s="480" t="s">
        <v>700</v>
      </c>
      <c r="L240" s="486" t="s">
        <v>40</v>
      </c>
      <c r="M240" s="480" t="s">
        <v>43</v>
      </c>
      <c r="N240" s="702">
        <v>20</v>
      </c>
      <c r="O240" s="571">
        <f t="shared" si="18"/>
        <v>140</v>
      </c>
    </row>
    <row r="241" spans="1:15" ht="25.5" customHeight="1">
      <c r="A241" s="1074"/>
      <c r="B241" s="1074"/>
      <c r="C241" s="1074"/>
      <c r="D241" s="804" t="s">
        <v>754</v>
      </c>
      <c r="E241" s="524" t="s">
        <v>481</v>
      </c>
      <c r="F241" s="500">
        <v>100</v>
      </c>
      <c r="G241" s="501"/>
      <c r="H241" s="501"/>
      <c r="I241" s="506"/>
      <c r="J241" s="687" t="s">
        <v>484</v>
      </c>
      <c r="K241" s="482" t="s">
        <v>486</v>
      </c>
      <c r="L241" s="486" t="s">
        <v>40</v>
      </c>
      <c r="M241" s="480" t="s">
        <v>43</v>
      </c>
      <c r="N241" s="702"/>
      <c r="O241" s="571">
        <f t="shared" si="18"/>
        <v>0</v>
      </c>
    </row>
    <row r="242" spans="1:15" ht="25.5" customHeight="1">
      <c r="A242" s="1074"/>
      <c r="B242" s="1074"/>
      <c r="C242" s="1074"/>
      <c r="D242" s="803" t="s">
        <v>755</v>
      </c>
      <c r="E242" s="497" t="s">
        <v>336</v>
      </c>
      <c r="F242" s="502">
        <f>100*5</f>
        <v>500</v>
      </c>
      <c r="G242" s="456"/>
      <c r="H242" s="456">
        <v>500</v>
      </c>
      <c r="I242" s="506">
        <f>F242*500</f>
        <v>250000</v>
      </c>
      <c r="J242" s="688" t="s">
        <v>704</v>
      </c>
      <c r="K242" s="584" t="s">
        <v>705</v>
      </c>
      <c r="L242" s="486" t="s">
        <v>40</v>
      </c>
      <c r="M242" s="480" t="s">
        <v>43</v>
      </c>
      <c r="N242" s="702">
        <v>0</v>
      </c>
      <c r="O242" s="571">
        <f t="shared" si="18"/>
        <v>0</v>
      </c>
    </row>
    <row r="243" spans="1:15" ht="25.5" customHeight="1">
      <c r="A243" s="1074"/>
      <c r="B243" s="1074"/>
      <c r="C243" s="1074"/>
      <c r="D243" s="803" t="s">
        <v>706</v>
      </c>
      <c r="E243" s="497" t="s">
        <v>707</v>
      </c>
      <c r="F243" s="503">
        <f>100*10000</f>
        <v>1000000</v>
      </c>
      <c r="G243" s="456">
        <v>4000</v>
      </c>
      <c r="H243" s="456">
        <v>400</v>
      </c>
      <c r="I243" s="509">
        <f>F243/4000*400</f>
        <v>100000</v>
      </c>
      <c r="J243" s="688" t="s">
        <v>708</v>
      </c>
      <c r="K243" s="584" t="s">
        <v>705</v>
      </c>
      <c r="L243" s="486" t="s">
        <v>40</v>
      </c>
      <c r="M243" s="480" t="s">
        <v>43</v>
      </c>
      <c r="N243" s="702">
        <f>I243/400</f>
        <v>250</v>
      </c>
      <c r="O243" s="571">
        <f t="shared" si="18"/>
        <v>1750</v>
      </c>
    </row>
    <row r="244" spans="1:15" ht="25.5" customHeight="1">
      <c r="A244" s="1075"/>
      <c r="B244" s="1075"/>
      <c r="C244" s="1075"/>
      <c r="D244" s="798" t="s">
        <v>896</v>
      </c>
      <c r="E244" s="497"/>
      <c r="F244" s="498">
        <v>1</v>
      </c>
      <c r="G244" s="456"/>
      <c r="H244" s="456">
        <v>18569</v>
      </c>
      <c r="I244" s="712">
        <f>F244*H244</f>
        <v>18569</v>
      </c>
      <c r="J244" s="690" t="s">
        <v>488</v>
      </c>
      <c r="K244" s="480" t="s">
        <v>39</v>
      </c>
      <c r="L244" s="486" t="s">
        <v>40</v>
      </c>
      <c r="M244" s="480" t="s">
        <v>43</v>
      </c>
      <c r="N244" s="702">
        <v>0</v>
      </c>
      <c r="O244" s="571">
        <f t="shared" si="18"/>
        <v>0</v>
      </c>
    </row>
    <row r="245" spans="1:15" s="533" customFormat="1" ht="34.5" customHeight="1">
      <c r="A245" s="1076" t="s">
        <v>190</v>
      </c>
      <c r="B245" s="1077"/>
      <c r="C245" s="1077"/>
      <c r="D245" s="1078"/>
      <c r="E245" s="729"/>
      <c r="F245" s="730"/>
      <c r="G245" s="730"/>
      <c r="H245" s="731"/>
      <c r="I245" s="732">
        <f>SUM(I239:I244)</f>
        <v>438569</v>
      </c>
      <c r="J245" s="732"/>
      <c r="K245" s="735"/>
      <c r="L245" s="732"/>
      <c r="M245" s="732"/>
      <c r="N245" s="732">
        <f>SUM(N239:N244)</f>
        <v>270</v>
      </c>
      <c r="O245" s="732">
        <f t="shared" si="18"/>
        <v>1890</v>
      </c>
    </row>
    <row r="246" spans="1:15" s="533" customFormat="1" ht="38.25" customHeight="1">
      <c r="A246" s="760" t="s">
        <v>13</v>
      </c>
      <c r="B246" s="760" t="s">
        <v>14</v>
      </c>
      <c r="C246" s="761" t="s">
        <v>15</v>
      </c>
      <c r="D246" s="790" t="s">
        <v>16</v>
      </c>
      <c r="E246" s="529" t="s">
        <v>17</v>
      </c>
      <c r="F246" s="569" t="s">
        <v>18</v>
      </c>
      <c r="G246" s="569" t="s">
        <v>330</v>
      </c>
      <c r="H246" s="563" t="s">
        <v>575</v>
      </c>
      <c r="I246" s="570" t="s">
        <v>774</v>
      </c>
      <c r="J246" s="684" t="s">
        <v>19</v>
      </c>
      <c r="K246" s="563" t="s">
        <v>3</v>
      </c>
      <c r="L246" s="569" t="s">
        <v>21</v>
      </c>
      <c r="M246" s="569" t="s">
        <v>22</v>
      </c>
      <c r="N246" s="700" t="s">
        <v>1058</v>
      </c>
      <c r="O246" s="700" t="s">
        <v>1058</v>
      </c>
    </row>
    <row r="247" spans="1:15" ht="23.25" customHeight="1">
      <c r="A247" s="1073" t="s">
        <v>34</v>
      </c>
      <c r="B247" s="1073" t="s">
        <v>888</v>
      </c>
      <c r="C247" s="1073"/>
      <c r="D247" s="803" t="s">
        <v>489</v>
      </c>
      <c r="E247" s="497" t="s">
        <v>44</v>
      </c>
      <c r="F247" s="498">
        <v>1</v>
      </c>
      <c r="G247" s="456"/>
      <c r="H247" s="456">
        <v>10000</v>
      </c>
      <c r="I247" s="506">
        <f>1*10000</f>
        <v>10000</v>
      </c>
      <c r="J247" s="687" t="s">
        <v>38</v>
      </c>
      <c r="K247" s="480" t="s">
        <v>698</v>
      </c>
      <c r="L247" s="486" t="s">
        <v>40</v>
      </c>
      <c r="M247" s="480" t="s">
        <v>43</v>
      </c>
      <c r="N247" s="702"/>
      <c r="O247" s="571">
        <f t="shared" si="18"/>
        <v>0</v>
      </c>
    </row>
    <row r="248" spans="1:15" ht="23.25" customHeight="1">
      <c r="A248" s="1074"/>
      <c r="B248" s="1074"/>
      <c r="C248" s="1074"/>
      <c r="D248" s="749" t="s">
        <v>897</v>
      </c>
      <c r="E248" s="497" t="s">
        <v>28</v>
      </c>
      <c r="F248" s="498">
        <v>1</v>
      </c>
      <c r="G248" s="456"/>
      <c r="H248" s="456">
        <v>3000</v>
      </c>
      <c r="I248" s="506">
        <f>3000*20</f>
        <v>60000</v>
      </c>
      <c r="J248" s="687" t="s">
        <v>699</v>
      </c>
      <c r="K248" s="480" t="s">
        <v>700</v>
      </c>
      <c r="L248" s="486" t="s">
        <v>40</v>
      </c>
      <c r="M248" s="480" t="s">
        <v>43</v>
      </c>
      <c r="N248" s="702">
        <v>20</v>
      </c>
      <c r="O248" s="571">
        <f t="shared" si="18"/>
        <v>140</v>
      </c>
    </row>
    <row r="249" spans="1:15" ht="23.25" customHeight="1">
      <c r="A249" s="1074"/>
      <c r="B249" s="1074"/>
      <c r="C249" s="1074"/>
      <c r="D249" s="750" t="s">
        <v>754</v>
      </c>
      <c r="E249" s="524" t="s">
        <v>481</v>
      </c>
      <c r="F249" s="500">
        <v>100</v>
      </c>
      <c r="G249" s="456"/>
      <c r="H249" s="456"/>
      <c r="I249" s="506"/>
      <c r="J249" s="687" t="s">
        <v>484</v>
      </c>
      <c r="K249" s="482" t="s">
        <v>486</v>
      </c>
      <c r="L249" s="486" t="s">
        <v>40</v>
      </c>
      <c r="M249" s="480" t="s">
        <v>43</v>
      </c>
      <c r="N249" s="702"/>
      <c r="O249" s="571">
        <f t="shared" si="18"/>
        <v>0</v>
      </c>
    </row>
    <row r="250" spans="1:15" ht="23.25" customHeight="1">
      <c r="A250" s="1074"/>
      <c r="B250" s="1074"/>
      <c r="C250" s="1074"/>
      <c r="D250" s="798" t="s">
        <v>756</v>
      </c>
      <c r="E250" s="497" t="s">
        <v>336</v>
      </c>
      <c r="F250" s="502">
        <f>100*5</f>
        <v>500</v>
      </c>
      <c r="G250" s="456"/>
      <c r="H250" s="456">
        <v>500</v>
      </c>
      <c r="I250" s="506">
        <f>F250*500</f>
        <v>250000</v>
      </c>
      <c r="J250" s="688" t="s">
        <v>704</v>
      </c>
      <c r="K250" s="584" t="s">
        <v>705</v>
      </c>
      <c r="L250" s="486" t="s">
        <v>40</v>
      </c>
      <c r="M250" s="480" t="s">
        <v>43</v>
      </c>
      <c r="N250" s="702">
        <v>0</v>
      </c>
      <c r="O250" s="571">
        <f t="shared" si="18"/>
        <v>0</v>
      </c>
    </row>
    <row r="251" spans="1:15" ht="23.25" customHeight="1">
      <c r="A251" s="1074"/>
      <c r="B251" s="1074"/>
      <c r="C251" s="1074"/>
      <c r="D251" s="798" t="s">
        <v>706</v>
      </c>
      <c r="E251" s="497" t="s">
        <v>707</v>
      </c>
      <c r="F251" s="503">
        <f>100*10000</f>
        <v>1000000</v>
      </c>
      <c r="G251" s="456">
        <v>4000</v>
      </c>
      <c r="H251" s="456">
        <v>400</v>
      </c>
      <c r="I251" s="506">
        <f>F251/4000*400</f>
        <v>100000</v>
      </c>
      <c r="J251" s="688" t="s">
        <v>708</v>
      </c>
      <c r="K251" s="584" t="s">
        <v>705</v>
      </c>
      <c r="L251" s="486" t="s">
        <v>40</v>
      </c>
      <c r="M251" s="480" t="s">
        <v>43</v>
      </c>
      <c r="N251" s="702">
        <f>I251/400</f>
        <v>250</v>
      </c>
      <c r="O251" s="571">
        <f t="shared" si="18"/>
        <v>1750</v>
      </c>
    </row>
    <row r="252" spans="1:15" ht="23.25" customHeight="1">
      <c r="A252" s="1075"/>
      <c r="B252" s="1075"/>
      <c r="C252" s="1075"/>
      <c r="D252" s="798" t="s">
        <v>896</v>
      </c>
      <c r="E252" s="497"/>
      <c r="F252" s="498">
        <v>1</v>
      </c>
      <c r="G252" s="456"/>
      <c r="H252" s="456">
        <v>18569</v>
      </c>
      <c r="I252" s="712">
        <f>F252*H252</f>
        <v>18569</v>
      </c>
      <c r="J252" s="690" t="s">
        <v>488</v>
      </c>
      <c r="K252" s="480" t="s">
        <v>39</v>
      </c>
      <c r="L252" s="486" t="s">
        <v>40</v>
      </c>
      <c r="M252" s="480" t="s">
        <v>43</v>
      </c>
      <c r="N252" s="702">
        <v>0</v>
      </c>
      <c r="O252" s="571">
        <f t="shared" si="18"/>
        <v>0</v>
      </c>
    </row>
    <row r="253" spans="1:15" s="533" customFormat="1" ht="34.5" customHeight="1">
      <c r="A253" s="1076" t="s">
        <v>190</v>
      </c>
      <c r="B253" s="1077"/>
      <c r="C253" s="1077"/>
      <c r="D253" s="1078"/>
      <c r="E253" s="729"/>
      <c r="F253" s="730"/>
      <c r="G253" s="730"/>
      <c r="H253" s="731"/>
      <c r="I253" s="732">
        <f>SUM(I247:I252)</f>
        <v>438569</v>
      </c>
      <c r="J253" s="732"/>
      <c r="K253" s="735"/>
      <c r="L253" s="732"/>
      <c r="M253" s="732"/>
      <c r="N253" s="732">
        <f>SUM(N249:N252)</f>
        <v>250</v>
      </c>
      <c r="O253" s="732">
        <f t="shared" si="18"/>
        <v>1750</v>
      </c>
    </row>
    <row r="254" spans="1:15" s="533" customFormat="1" ht="38.25" customHeight="1">
      <c r="A254" s="760" t="s">
        <v>13</v>
      </c>
      <c r="B254" s="760" t="s">
        <v>14</v>
      </c>
      <c r="C254" s="761" t="s">
        <v>15</v>
      </c>
      <c r="D254" s="790" t="s">
        <v>16</v>
      </c>
      <c r="E254" s="529" t="s">
        <v>17</v>
      </c>
      <c r="F254" s="569" t="s">
        <v>18</v>
      </c>
      <c r="G254" s="569" t="s">
        <v>330</v>
      </c>
      <c r="H254" s="563" t="s">
        <v>575</v>
      </c>
      <c r="I254" s="570" t="s">
        <v>774</v>
      </c>
      <c r="J254" s="684" t="s">
        <v>19</v>
      </c>
      <c r="K254" s="563" t="s">
        <v>3</v>
      </c>
      <c r="L254" s="569" t="s">
        <v>21</v>
      </c>
      <c r="M254" s="569" t="s">
        <v>22</v>
      </c>
      <c r="N254" s="700" t="s">
        <v>1058</v>
      </c>
      <c r="O254" s="700" t="s">
        <v>1058</v>
      </c>
    </row>
    <row r="255" spans="1:15" ht="25.5" customHeight="1">
      <c r="A255" s="1073" t="s">
        <v>70</v>
      </c>
      <c r="B255" s="1073" t="s">
        <v>866</v>
      </c>
      <c r="C255" s="1073" t="s">
        <v>874</v>
      </c>
      <c r="D255" s="803" t="s">
        <v>489</v>
      </c>
      <c r="E255" s="497" t="s">
        <v>44</v>
      </c>
      <c r="F255" s="498">
        <v>1</v>
      </c>
      <c r="G255" s="456"/>
      <c r="H255" s="456">
        <v>10000</v>
      </c>
      <c r="I255" s="506">
        <f>1*10000</f>
        <v>10000</v>
      </c>
      <c r="J255" s="687" t="s">
        <v>38</v>
      </c>
      <c r="K255" s="480" t="s">
        <v>698</v>
      </c>
      <c r="L255" s="486" t="s">
        <v>40</v>
      </c>
      <c r="M255" s="484" t="s">
        <v>43</v>
      </c>
      <c r="N255" s="702"/>
      <c r="O255" s="571">
        <f t="shared" si="18"/>
        <v>0</v>
      </c>
    </row>
    <row r="256" spans="1:15" ht="25.5" customHeight="1">
      <c r="A256" s="1074"/>
      <c r="B256" s="1074"/>
      <c r="C256" s="1074"/>
      <c r="D256" s="749" t="s">
        <v>897</v>
      </c>
      <c r="E256" s="497" t="s">
        <v>28</v>
      </c>
      <c r="F256" s="498">
        <v>20</v>
      </c>
      <c r="G256" s="456"/>
      <c r="H256" s="456">
        <v>3000</v>
      </c>
      <c r="I256" s="506">
        <f>F256*3000</f>
        <v>60000</v>
      </c>
      <c r="J256" s="687" t="s">
        <v>699</v>
      </c>
      <c r="K256" s="480" t="s">
        <v>700</v>
      </c>
      <c r="L256" s="486" t="s">
        <v>40</v>
      </c>
      <c r="M256" s="484" t="s">
        <v>43</v>
      </c>
      <c r="N256" s="702">
        <v>20</v>
      </c>
      <c r="O256" s="571">
        <f t="shared" si="18"/>
        <v>140</v>
      </c>
    </row>
    <row r="257" spans="1:15" ht="25.5" customHeight="1">
      <c r="A257" s="1074"/>
      <c r="B257" s="1074"/>
      <c r="C257" s="1074"/>
      <c r="D257" s="804" t="s">
        <v>754</v>
      </c>
      <c r="E257" s="524" t="s">
        <v>481</v>
      </c>
      <c r="F257" s="500">
        <v>100</v>
      </c>
      <c r="G257" s="501"/>
      <c r="H257" s="501"/>
      <c r="I257" s="506"/>
      <c r="J257" s="687" t="s">
        <v>484</v>
      </c>
      <c r="K257" s="482" t="s">
        <v>486</v>
      </c>
      <c r="L257" s="486" t="s">
        <v>40</v>
      </c>
      <c r="M257" s="480" t="s">
        <v>43</v>
      </c>
      <c r="N257" s="702"/>
      <c r="O257" s="571">
        <f t="shared" si="18"/>
        <v>0</v>
      </c>
    </row>
    <row r="258" spans="1:15" ht="25.5" customHeight="1">
      <c r="A258" s="1074"/>
      <c r="B258" s="1074"/>
      <c r="C258" s="1074"/>
      <c r="D258" s="803" t="s">
        <v>755</v>
      </c>
      <c r="E258" s="497" t="s">
        <v>336</v>
      </c>
      <c r="F258" s="502">
        <f>100*5</f>
        <v>500</v>
      </c>
      <c r="G258" s="456"/>
      <c r="H258" s="456">
        <v>500</v>
      </c>
      <c r="I258" s="506">
        <f>F258*500</f>
        <v>250000</v>
      </c>
      <c r="J258" s="688" t="s">
        <v>704</v>
      </c>
      <c r="K258" s="584" t="s">
        <v>705</v>
      </c>
      <c r="L258" s="486" t="s">
        <v>40</v>
      </c>
      <c r="M258" s="480" t="s">
        <v>43</v>
      </c>
      <c r="N258" s="702"/>
      <c r="O258" s="571">
        <f t="shared" si="18"/>
        <v>0</v>
      </c>
    </row>
    <row r="259" spans="1:15" ht="25.5" customHeight="1">
      <c r="A259" s="1074"/>
      <c r="B259" s="1074"/>
      <c r="C259" s="1074"/>
      <c r="D259" s="803" t="s">
        <v>706</v>
      </c>
      <c r="E259" s="497" t="s">
        <v>707</v>
      </c>
      <c r="F259" s="503">
        <f>100*10000</f>
        <v>1000000</v>
      </c>
      <c r="G259" s="456">
        <v>4000</v>
      </c>
      <c r="H259" s="456">
        <v>400</v>
      </c>
      <c r="I259" s="506">
        <f>F259/4000*400</f>
        <v>100000</v>
      </c>
      <c r="J259" s="688" t="s">
        <v>708</v>
      </c>
      <c r="K259" s="584" t="s">
        <v>705</v>
      </c>
      <c r="L259" s="486" t="s">
        <v>40</v>
      </c>
      <c r="M259" s="480" t="s">
        <v>43</v>
      </c>
      <c r="N259" s="702">
        <f>I259/400</f>
        <v>250</v>
      </c>
      <c r="O259" s="571">
        <f t="shared" si="18"/>
        <v>1750</v>
      </c>
    </row>
    <row r="260" spans="1:15" ht="25.5" customHeight="1">
      <c r="A260" s="1075"/>
      <c r="B260" s="1075"/>
      <c r="C260" s="1075"/>
      <c r="D260" s="798" t="s">
        <v>896</v>
      </c>
      <c r="E260" s="497"/>
      <c r="F260" s="498">
        <v>1</v>
      </c>
      <c r="G260" s="456"/>
      <c r="H260" s="456">
        <v>18569</v>
      </c>
      <c r="I260" s="712">
        <f>F260*H260</f>
        <v>18569</v>
      </c>
      <c r="J260" s="690" t="s">
        <v>488</v>
      </c>
      <c r="K260" s="480" t="s">
        <v>39</v>
      </c>
      <c r="L260" s="486" t="s">
        <v>40</v>
      </c>
      <c r="M260" s="480" t="s">
        <v>43</v>
      </c>
      <c r="N260" s="702">
        <v>0</v>
      </c>
      <c r="O260" s="571">
        <f t="shared" si="18"/>
        <v>0</v>
      </c>
    </row>
    <row r="261" spans="1:15" s="533" customFormat="1" ht="34.5" customHeight="1">
      <c r="A261" s="1076" t="s">
        <v>190</v>
      </c>
      <c r="B261" s="1077"/>
      <c r="C261" s="1077"/>
      <c r="D261" s="1078"/>
      <c r="E261" s="729"/>
      <c r="F261" s="730"/>
      <c r="G261" s="730"/>
      <c r="H261" s="731"/>
      <c r="I261" s="732">
        <f>SUM(I255:I260)</f>
        <v>438569</v>
      </c>
      <c r="J261" s="732"/>
      <c r="K261" s="735"/>
      <c r="L261" s="732"/>
      <c r="M261" s="732"/>
      <c r="N261" s="732">
        <f>SUM(N255:N260)</f>
        <v>270</v>
      </c>
      <c r="O261" s="732">
        <f t="shared" si="18"/>
        <v>1890</v>
      </c>
    </row>
    <row r="262" spans="1:15" s="533" customFormat="1" ht="38.25" customHeight="1">
      <c r="A262" s="760" t="s">
        <v>13</v>
      </c>
      <c r="B262" s="760" t="s">
        <v>14</v>
      </c>
      <c r="C262" s="761" t="s">
        <v>15</v>
      </c>
      <c r="D262" s="790" t="s">
        <v>16</v>
      </c>
      <c r="E262" s="529" t="s">
        <v>17</v>
      </c>
      <c r="F262" s="569" t="s">
        <v>18</v>
      </c>
      <c r="G262" s="569" t="s">
        <v>330</v>
      </c>
      <c r="H262" s="563" t="s">
        <v>575</v>
      </c>
      <c r="I262" s="570" t="s">
        <v>774</v>
      </c>
      <c r="J262" s="684" t="s">
        <v>19</v>
      </c>
      <c r="K262" s="563" t="s">
        <v>3</v>
      </c>
      <c r="L262" s="569" t="s">
        <v>21</v>
      </c>
      <c r="M262" s="569" t="s">
        <v>22</v>
      </c>
      <c r="N262" s="700" t="s">
        <v>1058</v>
      </c>
      <c r="O262" s="700" t="s">
        <v>1058</v>
      </c>
    </row>
    <row r="263" spans="1:15" ht="22.5" customHeight="1">
      <c r="A263" s="1100" t="s">
        <v>757</v>
      </c>
      <c r="B263" s="1100" t="s">
        <v>873</v>
      </c>
      <c r="C263" s="1100"/>
      <c r="D263" s="803" t="s">
        <v>489</v>
      </c>
      <c r="E263" s="497" t="s">
        <v>44</v>
      </c>
      <c r="F263" s="498">
        <v>1</v>
      </c>
      <c r="G263" s="456"/>
      <c r="H263" s="456">
        <v>10000</v>
      </c>
      <c r="I263" s="509">
        <f>1*10000</f>
        <v>10000</v>
      </c>
      <c r="J263" s="687" t="s">
        <v>38</v>
      </c>
      <c r="K263" s="480" t="s">
        <v>698</v>
      </c>
      <c r="L263" s="486" t="s">
        <v>40</v>
      </c>
      <c r="M263" s="484" t="s">
        <v>43</v>
      </c>
      <c r="N263" s="702"/>
      <c r="O263" s="571">
        <f t="shared" si="18"/>
        <v>0</v>
      </c>
    </row>
    <row r="264" spans="1:15" ht="22.5" customHeight="1">
      <c r="A264" s="1101"/>
      <c r="B264" s="1101"/>
      <c r="C264" s="1101"/>
      <c r="D264" s="749" t="s">
        <v>897</v>
      </c>
      <c r="E264" s="497" t="s">
        <v>28</v>
      </c>
      <c r="F264" s="498">
        <v>20</v>
      </c>
      <c r="G264" s="456"/>
      <c r="H264" s="456">
        <v>3000</v>
      </c>
      <c r="I264" s="509">
        <f>F264*3000</f>
        <v>60000</v>
      </c>
      <c r="J264" s="687" t="s">
        <v>699</v>
      </c>
      <c r="K264" s="480" t="s">
        <v>700</v>
      </c>
      <c r="L264" s="486" t="s">
        <v>40</v>
      </c>
      <c r="M264" s="484" t="s">
        <v>43</v>
      </c>
      <c r="N264" s="702">
        <v>20</v>
      </c>
      <c r="O264" s="571">
        <f t="shared" si="18"/>
        <v>140</v>
      </c>
    </row>
    <row r="265" spans="1:15" ht="22.5" customHeight="1">
      <c r="A265" s="1101"/>
      <c r="B265" s="1101"/>
      <c r="C265" s="1101"/>
      <c r="D265" s="804" t="s">
        <v>758</v>
      </c>
      <c r="E265" s="524" t="s">
        <v>481</v>
      </c>
      <c r="F265" s="500">
        <v>100</v>
      </c>
      <c r="G265" s="501"/>
      <c r="H265" s="501"/>
      <c r="I265" s="509"/>
      <c r="J265" s="687" t="s">
        <v>484</v>
      </c>
      <c r="K265" s="482" t="s">
        <v>486</v>
      </c>
      <c r="L265" s="486" t="s">
        <v>40</v>
      </c>
      <c r="M265" s="480" t="s">
        <v>43</v>
      </c>
      <c r="N265" s="702"/>
      <c r="O265" s="571">
        <f t="shared" si="18"/>
        <v>0</v>
      </c>
    </row>
    <row r="266" spans="1:15" ht="22.5" customHeight="1">
      <c r="A266" s="1101"/>
      <c r="B266" s="1101"/>
      <c r="C266" s="1101"/>
      <c r="D266" s="803" t="s">
        <v>759</v>
      </c>
      <c r="E266" s="497" t="s">
        <v>336</v>
      </c>
      <c r="F266" s="502">
        <f>100*5</f>
        <v>500</v>
      </c>
      <c r="G266" s="456"/>
      <c r="H266" s="456">
        <v>200</v>
      </c>
      <c r="I266" s="509">
        <f>F266*200</f>
        <v>100000</v>
      </c>
      <c r="J266" s="688" t="s">
        <v>704</v>
      </c>
      <c r="K266" s="584" t="s">
        <v>705</v>
      </c>
      <c r="L266" s="486" t="s">
        <v>40</v>
      </c>
      <c r="M266" s="480" t="s">
        <v>43</v>
      </c>
      <c r="N266" s="702">
        <v>0</v>
      </c>
      <c r="O266" s="571">
        <f t="shared" si="18"/>
        <v>0</v>
      </c>
    </row>
    <row r="267" spans="1:15" ht="28.5" customHeight="1">
      <c r="A267" s="1101"/>
      <c r="B267" s="1101"/>
      <c r="C267" s="1101"/>
      <c r="D267" s="803" t="s">
        <v>760</v>
      </c>
      <c r="E267" s="497" t="s">
        <v>707</v>
      </c>
      <c r="F267" s="503">
        <f>100*10000</f>
        <v>1000000</v>
      </c>
      <c r="G267" s="456">
        <v>4000</v>
      </c>
      <c r="H267" s="456">
        <v>400</v>
      </c>
      <c r="I267" s="509">
        <f>F267/4000*400</f>
        <v>100000</v>
      </c>
      <c r="J267" s="688" t="s">
        <v>708</v>
      </c>
      <c r="K267" s="584" t="s">
        <v>705</v>
      </c>
      <c r="L267" s="486" t="s">
        <v>40</v>
      </c>
      <c r="M267" s="480" t="s">
        <v>43</v>
      </c>
      <c r="N267" s="702">
        <f>I267/400</f>
        <v>250</v>
      </c>
      <c r="O267" s="571">
        <f t="shared" si="18"/>
        <v>1750</v>
      </c>
    </row>
    <row r="268" spans="1:15" ht="22.5" customHeight="1">
      <c r="A268" s="1102"/>
      <c r="B268" s="1102"/>
      <c r="C268" s="1102"/>
      <c r="D268" s="798" t="s">
        <v>896</v>
      </c>
      <c r="E268" s="497"/>
      <c r="F268" s="498">
        <v>1</v>
      </c>
      <c r="G268" s="456"/>
      <c r="H268" s="456">
        <v>18569</v>
      </c>
      <c r="I268" s="712">
        <f>F268*H268</f>
        <v>18569</v>
      </c>
      <c r="J268" s="690" t="s">
        <v>488</v>
      </c>
      <c r="K268" s="480" t="s">
        <v>39</v>
      </c>
      <c r="L268" s="486" t="s">
        <v>40</v>
      </c>
      <c r="M268" s="480" t="s">
        <v>43</v>
      </c>
      <c r="N268" s="702">
        <v>0</v>
      </c>
      <c r="O268" s="571">
        <f t="shared" si="18"/>
        <v>0</v>
      </c>
    </row>
    <row r="269" spans="1:15" s="533" customFormat="1" ht="34.5" customHeight="1">
      <c r="A269" s="1076" t="s">
        <v>190</v>
      </c>
      <c r="B269" s="1077"/>
      <c r="C269" s="1077"/>
      <c r="D269" s="1078"/>
      <c r="E269" s="729"/>
      <c r="F269" s="730"/>
      <c r="G269" s="730"/>
      <c r="H269" s="731"/>
      <c r="I269" s="732">
        <f>SUM(I263:I268)</f>
        <v>288569</v>
      </c>
      <c r="J269" s="732"/>
      <c r="K269" s="735"/>
      <c r="L269" s="732"/>
      <c r="M269" s="732"/>
      <c r="N269" s="732">
        <f>SUM(N263:N268)</f>
        <v>270</v>
      </c>
      <c r="O269" s="732">
        <f t="shared" si="18"/>
        <v>1890</v>
      </c>
    </row>
    <row r="270" spans="1:15" s="533" customFormat="1" ht="38.25" customHeight="1">
      <c r="A270" s="760" t="s">
        <v>13</v>
      </c>
      <c r="B270" s="760" t="s">
        <v>14</v>
      </c>
      <c r="C270" s="761" t="s">
        <v>15</v>
      </c>
      <c r="D270" s="790" t="s">
        <v>16</v>
      </c>
      <c r="E270" s="529" t="s">
        <v>17</v>
      </c>
      <c r="F270" s="569" t="s">
        <v>18</v>
      </c>
      <c r="G270" s="569" t="s">
        <v>330</v>
      </c>
      <c r="H270" s="563" t="s">
        <v>575</v>
      </c>
      <c r="I270" s="570" t="s">
        <v>774</v>
      </c>
      <c r="J270" s="684" t="s">
        <v>19</v>
      </c>
      <c r="K270" s="563" t="s">
        <v>3</v>
      </c>
      <c r="L270" s="569" t="s">
        <v>21</v>
      </c>
      <c r="M270" s="569" t="s">
        <v>22</v>
      </c>
      <c r="N270" s="700" t="s">
        <v>1058</v>
      </c>
      <c r="O270" s="700" t="s">
        <v>1058</v>
      </c>
    </row>
    <row r="271" spans="1:15" ht="18.75" customHeight="1">
      <c r="A271" s="1100" t="s">
        <v>77</v>
      </c>
      <c r="B271" s="1100" t="s">
        <v>23</v>
      </c>
      <c r="C271" s="1100" t="s">
        <v>872</v>
      </c>
      <c r="D271" s="803" t="s">
        <v>489</v>
      </c>
      <c r="E271" s="497" t="s">
        <v>44</v>
      </c>
      <c r="F271" s="498">
        <v>1</v>
      </c>
      <c r="G271" s="497"/>
      <c r="H271" s="456">
        <v>10000</v>
      </c>
      <c r="I271" s="509">
        <f>1*10000</f>
        <v>10000</v>
      </c>
      <c r="J271" s="687" t="s">
        <v>38</v>
      </c>
      <c r="K271" s="480" t="s">
        <v>698</v>
      </c>
      <c r="L271" s="486" t="s">
        <v>40</v>
      </c>
      <c r="M271" s="484" t="s">
        <v>43</v>
      </c>
      <c r="N271" s="702"/>
      <c r="O271" s="571">
        <f t="shared" si="18"/>
        <v>0</v>
      </c>
    </row>
    <row r="272" spans="1:15" ht="18.75" customHeight="1">
      <c r="A272" s="1101"/>
      <c r="B272" s="1101"/>
      <c r="C272" s="1101"/>
      <c r="D272" s="749" t="s">
        <v>897</v>
      </c>
      <c r="E272" s="497" t="s">
        <v>28</v>
      </c>
      <c r="F272" s="498">
        <v>20</v>
      </c>
      <c r="G272" s="497"/>
      <c r="H272" s="456">
        <v>3000</v>
      </c>
      <c r="I272" s="509">
        <f>F272*3000</f>
        <v>60000</v>
      </c>
      <c r="J272" s="687" t="s">
        <v>699</v>
      </c>
      <c r="K272" s="480" t="s">
        <v>700</v>
      </c>
      <c r="L272" s="486" t="s">
        <v>40</v>
      </c>
      <c r="M272" s="484" t="s">
        <v>43</v>
      </c>
      <c r="N272" s="702">
        <v>20</v>
      </c>
      <c r="O272" s="571">
        <f t="shared" si="18"/>
        <v>140</v>
      </c>
    </row>
    <row r="273" spans="1:15" ht="18.75" customHeight="1">
      <c r="A273" s="1101"/>
      <c r="B273" s="1101"/>
      <c r="C273" s="1101"/>
      <c r="D273" s="804" t="s">
        <v>758</v>
      </c>
      <c r="E273" s="524" t="s">
        <v>481</v>
      </c>
      <c r="F273" s="500">
        <v>100</v>
      </c>
      <c r="G273" s="497"/>
      <c r="H273" s="456"/>
      <c r="I273" s="509"/>
      <c r="J273" s="687" t="s">
        <v>484</v>
      </c>
      <c r="K273" s="482" t="s">
        <v>486</v>
      </c>
      <c r="L273" s="486" t="s">
        <v>40</v>
      </c>
      <c r="M273" s="480" t="s">
        <v>43</v>
      </c>
      <c r="N273" s="702"/>
      <c r="O273" s="571">
        <f t="shared" si="18"/>
        <v>0</v>
      </c>
    </row>
    <row r="274" spans="1:15" ht="18.75" customHeight="1">
      <c r="A274" s="1101"/>
      <c r="B274" s="1101"/>
      <c r="C274" s="1101"/>
      <c r="D274" s="803" t="s">
        <v>761</v>
      </c>
      <c r="E274" s="497" t="s">
        <v>336</v>
      </c>
      <c r="F274" s="502">
        <f>100*5</f>
        <v>500</v>
      </c>
      <c r="G274" s="497"/>
      <c r="H274" s="456">
        <v>200</v>
      </c>
      <c r="I274" s="509">
        <f>F274*200</f>
        <v>100000</v>
      </c>
      <c r="J274" s="688" t="s">
        <v>704</v>
      </c>
      <c r="K274" s="584" t="s">
        <v>705</v>
      </c>
      <c r="L274" s="486" t="s">
        <v>40</v>
      </c>
      <c r="M274" s="480" t="s">
        <v>43</v>
      </c>
      <c r="N274" s="702">
        <v>0</v>
      </c>
      <c r="O274" s="571">
        <f t="shared" ref="O274:O338" si="20">N274*7</f>
        <v>0</v>
      </c>
    </row>
    <row r="275" spans="1:15" ht="24.75" customHeight="1">
      <c r="A275" s="1101"/>
      <c r="B275" s="1101"/>
      <c r="C275" s="1101"/>
      <c r="D275" s="803" t="s">
        <v>760</v>
      </c>
      <c r="E275" s="497" t="s">
        <v>707</v>
      </c>
      <c r="F275" s="503">
        <f>100*10000</f>
        <v>1000000</v>
      </c>
      <c r="G275" s="456">
        <v>4000</v>
      </c>
      <c r="H275" s="456">
        <v>400</v>
      </c>
      <c r="I275" s="509">
        <f>F275/4000*400</f>
        <v>100000</v>
      </c>
      <c r="J275" s="688" t="s">
        <v>708</v>
      </c>
      <c r="K275" s="584" t="s">
        <v>705</v>
      </c>
      <c r="L275" s="486" t="s">
        <v>40</v>
      </c>
      <c r="M275" s="480" t="s">
        <v>43</v>
      </c>
      <c r="N275" s="702">
        <f>I275/400</f>
        <v>250</v>
      </c>
      <c r="O275" s="571">
        <f t="shared" si="20"/>
        <v>1750</v>
      </c>
    </row>
    <row r="276" spans="1:15" ht="18.75" customHeight="1">
      <c r="A276" s="1101"/>
      <c r="B276" s="1101"/>
      <c r="C276" s="1101"/>
      <c r="D276" s="750" t="s">
        <v>762</v>
      </c>
      <c r="E276" s="524" t="s">
        <v>481</v>
      </c>
      <c r="F276" s="500">
        <v>20</v>
      </c>
      <c r="G276" s="497"/>
      <c r="H276" s="456"/>
      <c r="I276" s="509"/>
      <c r="J276" s="687"/>
      <c r="K276" s="482"/>
      <c r="L276" s="486"/>
      <c r="M276" s="480" t="s">
        <v>43</v>
      </c>
      <c r="N276" s="702"/>
      <c r="O276" s="571">
        <f t="shared" si="20"/>
        <v>0</v>
      </c>
    </row>
    <row r="277" spans="1:15" ht="18.75" customHeight="1">
      <c r="A277" s="1101"/>
      <c r="B277" s="1101"/>
      <c r="C277" s="1101"/>
      <c r="D277" s="799" t="s">
        <v>899</v>
      </c>
      <c r="E277" s="505" t="s">
        <v>36</v>
      </c>
      <c r="F277" s="457">
        <v>100000</v>
      </c>
      <c r="G277" s="505">
        <v>125</v>
      </c>
      <c r="H277" s="456">
        <v>400</v>
      </c>
      <c r="I277" s="509">
        <f>F277/125*400</f>
        <v>320000</v>
      </c>
      <c r="J277" s="687" t="s">
        <v>483</v>
      </c>
      <c r="K277" s="480" t="s">
        <v>586</v>
      </c>
      <c r="L277" s="488" t="s">
        <v>40</v>
      </c>
      <c r="M277" s="477" t="s">
        <v>43</v>
      </c>
      <c r="N277" s="702">
        <f t="shared" ref="N277:N278" si="21">I277/400</f>
        <v>800</v>
      </c>
      <c r="O277" s="571">
        <f t="shared" si="20"/>
        <v>5600</v>
      </c>
    </row>
    <row r="278" spans="1:15" ht="18.75" customHeight="1">
      <c r="A278" s="1101"/>
      <c r="B278" s="1101"/>
      <c r="C278" s="1101"/>
      <c r="D278" s="799" t="s">
        <v>498</v>
      </c>
      <c r="E278" s="505" t="s">
        <v>36</v>
      </c>
      <c r="F278" s="457">
        <v>100000</v>
      </c>
      <c r="G278" s="505">
        <v>250</v>
      </c>
      <c r="H278" s="456">
        <v>400</v>
      </c>
      <c r="I278" s="509">
        <f>F278/250*400</f>
        <v>160000</v>
      </c>
      <c r="J278" s="687" t="s">
        <v>710</v>
      </c>
      <c r="K278" s="480" t="s">
        <v>39</v>
      </c>
      <c r="L278" s="488" t="s">
        <v>40</v>
      </c>
      <c r="M278" s="477" t="s">
        <v>43</v>
      </c>
      <c r="N278" s="702">
        <f t="shared" si="21"/>
        <v>400</v>
      </c>
      <c r="O278" s="571">
        <f t="shared" si="20"/>
        <v>2800</v>
      </c>
    </row>
    <row r="279" spans="1:15" ht="18.75" customHeight="1">
      <c r="A279" s="1101"/>
      <c r="B279" s="1101"/>
      <c r="C279" s="1101"/>
      <c r="D279" s="799" t="s">
        <v>49</v>
      </c>
      <c r="E279" s="505" t="s">
        <v>27</v>
      </c>
      <c r="F279" s="457">
        <v>30</v>
      </c>
      <c r="G279" s="505"/>
      <c r="H279" s="456">
        <v>4000</v>
      </c>
      <c r="I279" s="509">
        <f>4000*F279</f>
        <v>120000</v>
      </c>
      <c r="J279" s="687" t="s">
        <v>711</v>
      </c>
      <c r="K279" s="480" t="s">
        <v>712</v>
      </c>
      <c r="L279" s="488" t="s">
        <v>40</v>
      </c>
      <c r="M279" s="477" t="s">
        <v>43</v>
      </c>
      <c r="N279" s="702">
        <v>0</v>
      </c>
      <c r="O279" s="571">
        <f t="shared" si="20"/>
        <v>0</v>
      </c>
    </row>
    <row r="280" spans="1:15" ht="18.75" customHeight="1">
      <c r="A280" s="1101"/>
      <c r="B280" s="1101"/>
      <c r="C280" s="1101"/>
      <c r="D280" s="799" t="s">
        <v>50</v>
      </c>
      <c r="E280" s="505" t="s">
        <v>51</v>
      </c>
      <c r="F280" s="457">
        <v>24</v>
      </c>
      <c r="G280" s="505"/>
      <c r="H280" s="456">
        <v>300</v>
      </c>
      <c r="I280" s="509">
        <f>300*F280</f>
        <v>7200</v>
      </c>
      <c r="J280" s="687" t="s">
        <v>711</v>
      </c>
      <c r="K280" s="480" t="s">
        <v>712</v>
      </c>
      <c r="L280" s="488" t="s">
        <v>40</v>
      </c>
      <c r="M280" s="477" t="s">
        <v>43</v>
      </c>
      <c r="N280" s="702">
        <v>0</v>
      </c>
      <c r="O280" s="571">
        <f t="shared" si="20"/>
        <v>0</v>
      </c>
    </row>
    <row r="281" spans="1:15" ht="18.75" customHeight="1">
      <c r="A281" s="1101"/>
      <c r="B281" s="1101"/>
      <c r="C281" s="1101"/>
      <c r="D281" s="799" t="s">
        <v>52</v>
      </c>
      <c r="E281" s="505" t="s">
        <v>26</v>
      </c>
      <c r="F281" s="457">
        <v>100000</v>
      </c>
      <c r="G281" s="505"/>
      <c r="H281" s="504">
        <v>0.2</v>
      </c>
      <c r="I281" s="509">
        <f>F281*0.2</f>
        <v>20000</v>
      </c>
      <c r="J281" s="687" t="s">
        <v>710</v>
      </c>
      <c r="K281" s="480" t="s">
        <v>586</v>
      </c>
      <c r="L281" s="488" t="s">
        <v>40</v>
      </c>
      <c r="M281" s="477" t="s">
        <v>43</v>
      </c>
      <c r="N281" s="702">
        <v>0</v>
      </c>
      <c r="O281" s="571">
        <f t="shared" si="20"/>
        <v>0</v>
      </c>
    </row>
    <row r="282" spans="1:15" ht="18.75" customHeight="1">
      <c r="A282" s="1102"/>
      <c r="B282" s="1102"/>
      <c r="C282" s="1102"/>
      <c r="D282" s="798" t="s">
        <v>896</v>
      </c>
      <c r="E282" s="497"/>
      <c r="F282" s="498">
        <v>1</v>
      </c>
      <c r="G282" s="497"/>
      <c r="H282" s="456">
        <v>18569</v>
      </c>
      <c r="I282" s="712">
        <f>F282*H282</f>
        <v>18569</v>
      </c>
      <c r="J282" s="690" t="s">
        <v>488</v>
      </c>
      <c r="K282" s="480" t="s">
        <v>39</v>
      </c>
      <c r="L282" s="486" t="s">
        <v>40</v>
      </c>
      <c r="M282" s="477" t="s">
        <v>43</v>
      </c>
      <c r="N282" s="702">
        <v>0</v>
      </c>
      <c r="O282" s="571">
        <f t="shared" si="20"/>
        <v>0</v>
      </c>
    </row>
    <row r="283" spans="1:15" s="533" customFormat="1" ht="34.5" customHeight="1">
      <c r="A283" s="1076" t="s">
        <v>190</v>
      </c>
      <c r="B283" s="1077"/>
      <c r="C283" s="1077"/>
      <c r="D283" s="1078"/>
      <c r="E283" s="729"/>
      <c r="F283" s="730"/>
      <c r="G283" s="730"/>
      <c r="H283" s="731"/>
      <c r="I283" s="732">
        <f>SUM(I271:I282)</f>
        <v>915769</v>
      </c>
      <c r="J283" s="732"/>
      <c r="K283" s="735"/>
      <c r="L283" s="732"/>
      <c r="M283" s="732"/>
      <c r="N283" s="732">
        <f>SUM(N272:N282)</f>
        <v>1470</v>
      </c>
      <c r="O283" s="732">
        <f t="shared" si="20"/>
        <v>10290</v>
      </c>
    </row>
    <row r="284" spans="1:15" s="533" customFormat="1" ht="38.25" customHeight="1">
      <c r="A284" s="760" t="s">
        <v>13</v>
      </c>
      <c r="B284" s="760" t="s">
        <v>14</v>
      </c>
      <c r="C284" s="761" t="s">
        <v>15</v>
      </c>
      <c r="D284" s="790" t="s">
        <v>16</v>
      </c>
      <c r="E284" s="529" t="s">
        <v>17</v>
      </c>
      <c r="F284" s="569" t="s">
        <v>18</v>
      </c>
      <c r="G284" s="569" t="s">
        <v>330</v>
      </c>
      <c r="H284" s="563" t="s">
        <v>575</v>
      </c>
      <c r="I284" s="570" t="s">
        <v>774</v>
      </c>
      <c r="J284" s="684" t="s">
        <v>19</v>
      </c>
      <c r="K284" s="563" t="s">
        <v>3</v>
      </c>
      <c r="L284" s="569" t="s">
        <v>21</v>
      </c>
      <c r="M284" s="569" t="s">
        <v>22</v>
      </c>
      <c r="N284" s="700" t="s">
        <v>1058</v>
      </c>
      <c r="O284" s="700" t="s">
        <v>1058</v>
      </c>
    </row>
    <row r="285" spans="1:15" ht="17.25" customHeight="1">
      <c r="A285" s="1100" t="s">
        <v>41</v>
      </c>
      <c r="B285" s="1100" t="s">
        <v>883</v>
      </c>
      <c r="C285" s="1100" t="s">
        <v>884</v>
      </c>
      <c r="D285" s="803" t="s">
        <v>489</v>
      </c>
      <c r="E285" s="497" t="s">
        <v>44</v>
      </c>
      <c r="F285" s="498">
        <v>1</v>
      </c>
      <c r="G285" s="456"/>
      <c r="H285" s="456">
        <v>10000</v>
      </c>
      <c r="I285" s="506">
        <f>1*10000</f>
        <v>10000</v>
      </c>
      <c r="J285" s="687" t="s">
        <v>38</v>
      </c>
      <c r="K285" s="480" t="s">
        <v>698</v>
      </c>
      <c r="L285" s="486" t="s">
        <v>40</v>
      </c>
      <c r="M285" s="484"/>
      <c r="N285" s="702"/>
      <c r="O285" s="571">
        <f t="shared" si="20"/>
        <v>0</v>
      </c>
    </row>
    <row r="286" spans="1:15" ht="17.25" customHeight="1">
      <c r="A286" s="1101"/>
      <c r="B286" s="1101"/>
      <c r="C286" s="1101"/>
      <c r="D286" s="749" t="s">
        <v>897</v>
      </c>
      <c r="E286" s="497" t="s">
        <v>28</v>
      </c>
      <c r="F286" s="498">
        <v>20</v>
      </c>
      <c r="G286" s="456"/>
      <c r="H286" s="456">
        <v>3000</v>
      </c>
      <c r="I286" s="506">
        <f>F286*3000</f>
        <v>60000</v>
      </c>
      <c r="J286" s="687" t="s">
        <v>699</v>
      </c>
      <c r="K286" s="480" t="s">
        <v>700</v>
      </c>
      <c r="L286" s="486" t="s">
        <v>40</v>
      </c>
      <c r="M286" s="484"/>
      <c r="N286" s="702">
        <v>20</v>
      </c>
      <c r="O286" s="571">
        <f t="shared" si="20"/>
        <v>140</v>
      </c>
    </row>
    <row r="287" spans="1:15" ht="17.25" customHeight="1">
      <c r="A287" s="1101"/>
      <c r="B287" s="1101"/>
      <c r="C287" s="1101"/>
      <c r="D287" s="804" t="s">
        <v>754</v>
      </c>
      <c r="E287" s="524" t="s">
        <v>481</v>
      </c>
      <c r="F287" s="500">
        <v>100</v>
      </c>
      <c r="G287" s="456"/>
      <c r="H287" s="456"/>
      <c r="I287" s="506"/>
      <c r="J287" s="687" t="s">
        <v>484</v>
      </c>
      <c r="K287" s="482" t="s">
        <v>486</v>
      </c>
      <c r="L287" s="486" t="s">
        <v>40</v>
      </c>
      <c r="M287" s="480" t="s">
        <v>43</v>
      </c>
      <c r="N287" s="702"/>
      <c r="O287" s="571">
        <f t="shared" si="20"/>
        <v>0</v>
      </c>
    </row>
    <row r="288" spans="1:15" ht="17.25" customHeight="1">
      <c r="A288" s="1101"/>
      <c r="B288" s="1101"/>
      <c r="C288" s="1101"/>
      <c r="D288" s="803" t="s">
        <v>755</v>
      </c>
      <c r="E288" s="497" t="s">
        <v>336</v>
      </c>
      <c r="F288" s="502">
        <f>100*5</f>
        <v>500</v>
      </c>
      <c r="G288" s="456"/>
      <c r="H288" s="456">
        <v>500</v>
      </c>
      <c r="I288" s="506">
        <f>F288*500</f>
        <v>250000</v>
      </c>
      <c r="J288" s="688" t="s">
        <v>704</v>
      </c>
      <c r="K288" s="584" t="s">
        <v>705</v>
      </c>
      <c r="L288" s="486" t="s">
        <v>40</v>
      </c>
      <c r="M288" s="480" t="s">
        <v>43</v>
      </c>
      <c r="N288" s="702">
        <v>0</v>
      </c>
      <c r="O288" s="571">
        <f t="shared" si="20"/>
        <v>0</v>
      </c>
    </row>
    <row r="289" spans="1:15" ht="27" customHeight="1">
      <c r="A289" s="1101"/>
      <c r="B289" s="1101"/>
      <c r="C289" s="1101"/>
      <c r="D289" s="803" t="s">
        <v>760</v>
      </c>
      <c r="E289" s="497" t="s">
        <v>707</v>
      </c>
      <c r="F289" s="503">
        <f>100*10000</f>
        <v>1000000</v>
      </c>
      <c r="G289" s="456">
        <v>4000</v>
      </c>
      <c r="H289" s="456">
        <v>400</v>
      </c>
      <c r="I289" s="506">
        <f>F289/4000*400</f>
        <v>100000</v>
      </c>
      <c r="J289" s="688" t="s">
        <v>708</v>
      </c>
      <c r="K289" s="584" t="s">
        <v>705</v>
      </c>
      <c r="L289" s="486" t="s">
        <v>40</v>
      </c>
      <c r="M289" s="480" t="s">
        <v>43</v>
      </c>
      <c r="N289" s="702">
        <f>I289/400</f>
        <v>250</v>
      </c>
      <c r="O289" s="571">
        <f t="shared" si="20"/>
        <v>1750</v>
      </c>
    </row>
    <row r="290" spans="1:15" ht="17.25" customHeight="1">
      <c r="A290" s="1101"/>
      <c r="B290" s="1101"/>
      <c r="C290" s="1101"/>
      <c r="D290" s="750" t="s">
        <v>709</v>
      </c>
      <c r="E290" s="524" t="s">
        <v>481</v>
      </c>
      <c r="F290" s="500">
        <v>10</v>
      </c>
      <c r="G290" s="456"/>
      <c r="H290" s="456"/>
      <c r="I290" s="506"/>
      <c r="J290" s="687"/>
      <c r="K290" s="482"/>
      <c r="L290" s="486"/>
      <c r="M290" s="480" t="s">
        <v>43</v>
      </c>
      <c r="N290" s="702"/>
      <c r="O290" s="571">
        <f t="shared" si="20"/>
        <v>0</v>
      </c>
    </row>
    <row r="291" spans="1:15" ht="17.25" customHeight="1">
      <c r="A291" s="1101"/>
      <c r="B291" s="1101"/>
      <c r="C291" s="1101"/>
      <c r="D291" s="799" t="s">
        <v>899</v>
      </c>
      <c r="E291" s="505" t="s">
        <v>36</v>
      </c>
      <c r="F291" s="457">
        <v>50000</v>
      </c>
      <c r="G291" s="456">
        <v>125</v>
      </c>
      <c r="H291" s="456">
        <v>400</v>
      </c>
      <c r="I291" s="506">
        <f>F291/125*400</f>
        <v>160000</v>
      </c>
      <c r="J291" s="687" t="s">
        <v>483</v>
      </c>
      <c r="K291" s="480" t="s">
        <v>586</v>
      </c>
      <c r="L291" s="488" t="s">
        <v>40</v>
      </c>
      <c r="M291" s="477" t="s">
        <v>43</v>
      </c>
      <c r="N291" s="702">
        <f t="shared" ref="N291:N292" si="22">I291/400</f>
        <v>400</v>
      </c>
      <c r="O291" s="571">
        <f t="shared" si="20"/>
        <v>2800</v>
      </c>
    </row>
    <row r="292" spans="1:15" ht="17.25" customHeight="1">
      <c r="A292" s="1101"/>
      <c r="B292" s="1101"/>
      <c r="C292" s="1101"/>
      <c r="D292" s="799" t="s">
        <v>498</v>
      </c>
      <c r="E292" s="505" t="s">
        <v>36</v>
      </c>
      <c r="F292" s="457">
        <v>50000</v>
      </c>
      <c r="G292" s="456">
        <v>250</v>
      </c>
      <c r="H292" s="456">
        <v>400</v>
      </c>
      <c r="I292" s="506">
        <f>F292/250*400</f>
        <v>80000</v>
      </c>
      <c r="J292" s="687" t="s">
        <v>710</v>
      </c>
      <c r="K292" s="480" t="s">
        <v>39</v>
      </c>
      <c r="L292" s="488" t="s">
        <v>40</v>
      </c>
      <c r="M292" s="477" t="s">
        <v>43</v>
      </c>
      <c r="N292" s="702">
        <f t="shared" si="22"/>
        <v>200</v>
      </c>
      <c r="O292" s="571">
        <f t="shared" si="20"/>
        <v>1400</v>
      </c>
    </row>
    <row r="293" spans="1:15" ht="17.25" customHeight="1">
      <c r="A293" s="1101"/>
      <c r="B293" s="1101"/>
      <c r="C293" s="1101"/>
      <c r="D293" s="799" t="s">
        <v>49</v>
      </c>
      <c r="E293" s="505" t="s">
        <v>27</v>
      </c>
      <c r="F293" s="457">
        <v>15</v>
      </c>
      <c r="G293" s="456"/>
      <c r="H293" s="456">
        <v>4000</v>
      </c>
      <c r="I293" s="506">
        <f>4000*F293</f>
        <v>60000</v>
      </c>
      <c r="J293" s="687" t="s">
        <v>711</v>
      </c>
      <c r="K293" s="480" t="s">
        <v>712</v>
      </c>
      <c r="L293" s="488" t="s">
        <v>40</v>
      </c>
      <c r="M293" s="477" t="s">
        <v>43</v>
      </c>
      <c r="N293" s="702">
        <v>0</v>
      </c>
      <c r="O293" s="571">
        <f t="shared" si="20"/>
        <v>0</v>
      </c>
    </row>
    <row r="294" spans="1:15" ht="17.25" customHeight="1">
      <c r="A294" s="1101"/>
      <c r="B294" s="1101"/>
      <c r="C294" s="1101"/>
      <c r="D294" s="799" t="s">
        <v>50</v>
      </c>
      <c r="E294" s="505" t="s">
        <v>51</v>
      </c>
      <c r="F294" s="457">
        <v>24</v>
      </c>
      <c r="G294" s="456"/>
      <c r="H294" s="456">
        <v>300</v>
      </c>
      <c r="I294" s="506">
        <f>300*F294</f>
        <v>7200</v>
      </c>
      <c r="J294" s="687" t="s">
        <v>711</v>
      </c>
      <c r="K294" s="480" t="s">
        <v>712</v>
      </c>
      <c r="L294" s="488" t="s">
        <v>40</v>
      </c>
      <c r="M294" s="477" t="s">
        <v>43</v>
      </c>
      <c r="N294" s="702">
        <v>0</v>
      </c>
      <c r="O294" s="571">
        <f t="shared" si="20"/>
        <v>0</v>
      </c>
    </row>
    <row r="295" spans="1:15" ht="17.25" customHeight="1">
      <c r="A295" s="1101"/>
      <c r="B295" s="1101"/>
      <c r="C295" s="1101"/>
      <c r="D295" s="799" t="s">
        <v>52</v>
      </c>
      <c r="E295" s="505" t="s">
        <v>26</v>
      </c>
      <c r="F295" s="457">
        <v>50000</v>
      </c>
      <c r="G295" s="456"/>
      <c r="H295" s="504">
        <v>0.2</v>
      </c>
      <c r="I295" s="506">
        <f>F295*0.2</f>
        <v>10000</v>
      </c>
      <c r="J295" s="687" t="s">
        <v>710</v>
      </c>
      <c r="K295" s="480" t="s">
        <v>586</v>
      </c>
      <c r="L295" s="488" t="s">
        <v>40</v>
      </c>
      <c r="M295" s="477" t="s">
        <v>43</v>
      </c>
      <c r="N295" s="702">
        <v>0</v>
      </c>
      <c r="O295" s="571">
        <f t="shared" si="20"/>
        <v>0</v>
      </c>
    </row>
    <row r="296" spans="1:15" ht="17.25" customHeight="1">
      <c r="A296" s="1102"/>
      <c r="B296" s="1102"/>
      <c r="C296" s="1102"/>
      <c r="D296" s="798" t="s">
        <v>896</v>
      </c>
      <c r="E296" s="497"/>
      <c r="F296" s="498">
        <v>1</v>
      </c>
      <c r="G296" s="456"/>
      <c r="H296" s="456">
        <v>18569</v>
      </c>
      <c r="I296" s="712">
        <f>F296*H296</f>
        <v>18569</v>
      </c>
      <c r="J296" s="690" t="s">
        <v>488</v>
      </c>
      <c r="K296" s="480" t="s">
        <v>39</v>
      </c>
      <c r="L296" s="486" t="s">
        <v>40</v>
      </c>
      <c r="M296" s="477" t="s">
        <v>43</v>
      </c>
      <c r="N296" s="702">
        <v>0</v>
      </c>
      <c r="O296" s="571">
        <f t="shared" si="20"/>
        <v>0</v>
      </c>
    </row>
    <row r="297" spans="1:15" s="533" customFormat="1" ht="34.5" customHeight="1">
      <c r="A297" s="1076" t="s">
        <v>1062</v>
      </c>
      <c r="B297" s="1077"/>
      <c r="C297" s="1077"/>
      <c r="D297" s="1078"/>
      <c r="E297" s="729"/>
      <c r="F297" s="730"/>
      <c r="G297" s="730"/>
      <c r="H297" s="731"/>
      <c r="I297" s="732">
        <f>SUM(I285:I296)</f>
        <v>755769</v>
      </c>
      <c r="J297" s="732"/>
      <c r="K297" s="735"/>
      <c r="L297" s="732"/>
      <c r="M297" s="732"/>
      <c r="N297" s="732">
        <f>SUM(N285:N296)</f>
        <v>870</v>
      </c>
      <c r="O297" s="732">
        <f t="shared" si="20"/>
        <v>6090</v>
      </c>
    </row>
    <row r="298" spans="1:15" s="533" customFormat="1" ht="27.75" customHeight="1">
      <c r="A298" s="1100" t="s">
        <v>23</v>
      </c>
      <c r="B298" s="1100" t="s">
        <v>788</v>
      </c>
      <c r="C298" s="1100"/>
      <c r="D298" s="750" t="s">
        <v>900</v>
      </c>
      <c r="E298" s="524" t="s">
        <v>28</v>
      </c>
      <c r="F298" s="500">
        <v>1</v>
      </c>
      <c r="G298" s="456">
        <v>11</v>
      </c>
      <c r="H298" s="456">
        <v>83111</v>
      </c>
      <c r="I298" s="506">
        <f>83111*11</f>
        <v>914221</v>
      </c>
      <c r="J298" s="687"/>
      <c r="K298" s="482"/>
      <c r="L298" s="486"/>
      <c r="M298" s="480"/>
      <c r="N298" s="702">
        <f>360*2-30</f>
        <v>690</v>
      </c>
      <c r="O298" s="571">
        <f t="shared" si="20"/>
        <v>4830</v>
      </c>
    </row>
    <row r="299" spans="1:15" s="533" customFormat="1" ht="27.75" customHeight="1">
      <c r="A299" s="1102"/>
      <c r="B299" s="1102"/>
      <c r="C299" s="1102"/>
      <c r="D299" s="750" t="s">
        <v>905</v>
      </c>
      <c r="E299" s="524" t="s">
        <v>28</v>
      </c>
      <c r="F299" s="500">
        <v>1</v>
      </c>
      <c r="G299" s="456">
        <v>12</v>
      </c>
      <c r="H299" s="456">
        <v>83111</v>
      </c>
      <c r="I299" s="506">
        <f>F299*G299*H299</f>
        <v>997332</v>
      </c>
      <c r="J299" s="687"/>
      <c r="K299" s="482"/>
      <c r="L299" s="486"/>
      <c r="M299" s="480"/>
      <c r="N299" s="702"/>
      <c r="O299" s="571">
        <f t="shared" si="20"/>
        <v>0</v>
      </c>
    </row>
    <row r="300" spans="1:15" s="533" customFormat="1" ht="34.5" customHeight="1">
      <c r="A300" s="1076" t="s">
        <v>1062</v>
      </c>
      <c r="B300" s="1077"/>
      <c r="C300" s="1077"/>
      <c r="D300" s="1078"/>
      <c r="E300" s="729"/>
      <c r="F300" s="730"/>
      <c r="G300" s="730"/>
      <c r="H300" s="731"/>
      <c r="I300" s="732">
        <f>SUM(I298:I299)</f>
        <v>1911553</v>
      </c>
      <c r="J300" s="732">
        <f t="shared" ref="J300:O300" si="23">SUM(J298:J299)</f>
        <v>0</v>
      </c>
      <c r="K300" s="735">
        <f t="shared" si="23"/>
        <v>0</v>
      </c>
      <c r="L300" s="732">
        <f t="shared" si="23"/>
        <v>0</v>
      </c>
      <c r="M300" s="732">
        <f t="shared" si="23"/>
        <v>0</v>
      </c>
      <c r="N300" s="732">
        <f t="shared" si="23"/>
        <v>690</v>
      </c>
      <c r="O300" s="732">
        <f t="shared" si="23"/>
        <v>4830</v>
      </c>
    </row>
    <row r="301" spans="1:15" s="533" customFormat="1" ht="33.75" customHeight="1">
      <c r="A301" s="1097" t="s">
        <v>1061</v>
      </c>
      <c r="B301" s="1098"/>
      <c r="C301" s="1098"/>
      <c r="D301" s="1099"/>
      <c r="E301" s="737"/>
      <c r="F301" s="738"/>
      <c r="G301" s="738"/>
      <c r="H301" s="739"/>
      <c r="I301" s="755">
        <f>I86+I114+I129+I157+I172+I180+I187+I216+I237+I245+I253+I261+I269+I283+I297+I300</f>
        <v>17808821.333333336</v>
      </c>
      <c r="J301" s="755">
        <f t="shared" ref="J301:O301" si="24">J86+J114+J129+J157+J172+J180+J187+J216+J237+J245+J253+J261+J269+J283+J297+J300</f>
        <v>0</v>
      </c>
      <c r="K301" s="755">
        <f t="shared" si="24"/>
        <v>0</v>
      </c>
      <c r="L301" s="755">
        <f t="shared" si="24"/>
        <v>0</v>
      </c>
      <c r="M301" s="755">
        <f t="shared" si="24"/>
        <v>0</v>
      </c>
      <c r="N301" s="755">
        <f t="shared" si="24"/>
        <v>28295.333333333336</v>
      </c>
      <c r="O301" s="755">
        <f t="shared" si="24"/>
        <v>198067.33333333334</v>
      </c>
    </row>
    <row r="302" spans="1:15" s="756" customFormat="1" ht="48" customHeight="1">
      <c r="A302" s="1085" t="s">
        <v>854</v>
      </c>
      <c r="B302" s="1086"/>
      <c r="C302" s="1086"/>
      <c r="D302" s="1086"/>
      <c r="E302" s="1086"/>
      <c r="F302" s="1086"/>
      <c r="G302" s="1086"/>
      <c r="H302" s="1086"/>
      <c r="I302" s="1086"/>
      <c r="J302" s="1086"/>
      <c r="K302" s="1086"/>
      <c r="L302" s="1086"/>
      <c r="M302" s="1086"/>
      <c r="N302" s="1086"/>
      <c r="O302" s="1086">
        <f t="shared" si="20"/>
        <v>0</v>
      </c>
    </row>
    <row r="303" spans="1:15" s="533" customFormat="1" ht="56.25">
      <c r="A303" s="760" t="s">
        <v>13</v>
      </c>
      <c r="B303" s="760" t="s">
        <v>14</v>
      </c>
      <c r="C303" s="761" t="s">
        <v>15</v>
      </c>
      <c r="D303" s="790" t="s">
        <v>16</v>
      </c>
      <c r="E303" s="529" t="s">
        <v>17</v>
      </c>
      <c r="F303" s="569" t="s">
        <v>18</v>
      </c>
      <c r="G303" s="569" t="s">
        <v>330</v>
      </c>
      <c r="H303" s="563" t="s">
        <v>575</v>
      </c>
      <c r="I303" s="570" t="s">
        <v>774</v>
      </c>
      <c r="J303" s="684" t="s">
        <v>19</v>
      </c>
      <c r="K303" s="563" t="s">
        <v>3</v>
      </c>
      <c r="L303" s="569" t="s">
        <v>21</v>
      </c>
      <c r="M303" s="569" t="s">
        <v>22</v>
      </c>
      <c r="N303" s="700" t="s">
        <v>1058</v>
      </c>
      <c r="O303" s="700" t="s">
        <v>1058</v>
      </c>
    </row>
    <row r="304" spans="1:15" ht="18.75">
      <c r="A304" s="1103" t="s">
        <v>906</v>
      </c>
      <c r="B304" s="1103" t="s">
        <v>914</v>
      </c>
      <c r="C304" s="1103" t="s">
        <v>915</v>
      </c>
      <c r="D304" s="552" t="s">
        <v>916</v>
      </c>
      <c r="E304" s="492" t="s">
        <v>707</v>
      </c>
      <c r="F304" s="587">
        <v>2000</v>
      </c>
      <c r="G304" s="587"/>
      <c r="H304" s="587" t="s">
        <v>782</v>
      </c>
      <c r="I304" s="506">
        <v>10000</v>
      </c>
      <c r="J304" s="693" t="s">
        <v>38</v>
      </c>
      <c r="K304" s="456" t="s">
        <v>39</v>
      </c>
      <c r="L304" s="456" t="s">
        <v>40</v>
      </c>
      <c r="M304" s="587" t="s">
        <v>43</v>
      </c>
      <c r="N304" s="506">
        <v>25</v>
      </c>
      <c r="O304" s="571">
        <f t="shared" si="20"/>
        <v>175</v>
      </c>
    </row>
    <row r="305" spans="1:16" ht="18.75">
      <c r="A305" s="1104"/>
      <c r="B305" s="1104"/>
      <c r="C305" s="1104"/>
      <c r="D305" s="552" t="s">
        <v>917</v>
      </c>
      <c r="E305" s="492" t="s">
        <v>707</v>
      </c>
      <c r="F305" s="587">
        <v>6000</v>
      </c>
      <c r="G305" s="587"/>
      <c r="H305" s="587" t="s">
        <v>782</v>
      </c>
      <c r="I305" s="506">
        <v>120000</v>
      </c>
      <c r="J305" s="693" t="s">
        <v>38</v>
      </c>
      <c r="K305" s="456" t="s">
        <v>39</v>
      </c>
      <c r="L305" s="456" t="s">
        <v>40</v>
      </c>
      <c r="M305" s="587" t="s">
        <v>43</v>
      </c>
      <c r="N305" s="506">
        <v>100</v>
      </c>
      <c r="O305" s="571">
        <f t="shared" si="20"/>
        <v>700</v>
      </c>
    </row>
    <row r="306" spans="1:16" ht="18.75">
      <c r="A306" s="1104"/>
      <c r="B306" s="1104"/>
      <c r="C306" s="1104"/>
      <c r="D306" s="552" t="s">
        <v>918</v>
      </c>
      <c r="E306" s="492" t="s">
        <v>841</v>
      </c>
      <c r="F306" s="587">
        <v>287.2</v>
      </c>
      <c r="G306" s="587"/>
      <c r="H306" s="587" t="s">
        <v>782</v>
      </c>
      <c r="I306" s="506">
        <v>2872</v>
      </c>
      <c r="J306" s="693" t="s">
        <v>38</v>
      </c>
      <c r="K306" s="456" t="s">
        <v>39</v>
      </c>
      <c r="L306" s="456" t="s">
        <v>40</v>
      </c>
      <c r="M306" s="587" t="s">
        <v>43</v>
      </c>
      <c r="N306" s="506">
        <v>7.18</v>
      </c>
      <c r="O306" s="571">
        <f t="shared" si="20"/>
        <v>50.26</v>
      </c>
    </row>
    <row r="307" spans="1:16" ht="18.75">
      <c r="A307" s="1104"/>
      <c r="B307" s="1104"/>
      <c r="C307" s="1104"/>
      <c r="D307" s="552" t="s">
        <v>919</v>
      </c>
      <c r="E307" s="492" t="s">
        <v>920</v>
      </c>
      <c r="F307" s="587">
        <v>20</v>
      </c>
      <c r="G307" s="587"/>
      <c r="H307" s="587" t="s">
        <v>782</v>
      </c>
      <c r="I307" s="506">
        <v>16000</v>
      </c>
      <c r="J307" s="693" t="s">
        <v>38</v>
      </c>
      <c r="K307" s="456" t="s">
        <v>39</v>
      </c>
      <c r="L307" s="456" t="s">
        <v>40</v>
      </c>
      <c r="M307" s="587" t="s">
        <v>43</v>
      </c>
      <c r="N307" s="506">
        <v>40</v>
      </c>
      <c r="O307" s="571">
        <f t="shared" si="20"/>
        <v>280</v>
      </c>
    </row>
    <row r="308" spans="1:16" ht="18.75">
      <c r="A308" s="1104"/>
      <c r="B308" s="1104"/>
      <c r="C308" s="1104"/>
      <c r="D308" s="552" t="s">
        <v>921</v>
      </c>
      <c r="E308" s="492" t="s">
        <v>922</v>
      </c>
      <c r="F308" s="587">
        <v>10000</v>
      </c>
      <c r="G308" s="587"/>
      <c r="H308" s="587" t="s">
        <v>782</v>
      </c>
      <c r="I308" s="506">
        <v>20000</v>
      </c>
      <c r="J308" s="693" t="s">
        <v>38</v>
      </c>
      <c r="K308" s="456" t="s">
        <v>39</v>
      </c>
      <c r="L308" s="456" t="s">
        <v>40</v>
      </c>
      <c r="M308" s="587" t="s">
        <v>43</v>
      </c>
      <c r="N308" s="506">
        <v>50</v>
      </c>
      <c r="O308" s="571">
        <f t="shared" si="20"/>
        <v>350</v>
      </c>
    </row>
    <row r="309" spans="1:16" ht="18.75">
      <c r="A309" s="1104"/>
      <c r="B309" s="1104"/>
      <c r="C309" s="1104"/>
      <c r="D309" s="552" t="s">
        <v>923</v>
      </c>
      <c r="E309" s="492" t="s">
        <v>707</v>
      </c>
      <c r="F309" s="587">
        <v>2000</v>
      </c>
      <c r="G309" s="587"/>
      <c r="H309" s="587" t="s">
        <v>782</v>
      </c>
      <c r="I309" s="506">
        <v>4000</v>
      </c>
      <c r="J309" s="693" t="s">
        <v>38</v>
      </c>
      <c r="K309" s="456" t="s">
        <v>39</v>
      </c>
      <c r="L309" s="456" t="s">
        <v>40</v>
      </c>
      <c r="M309" s="587" t="s">
        <v>43</v>
      </c>
      <c r="N309" s="506">
        <v>10</v>
      </c>
      <c r="O309" s="571">
        <f t="shared" si="20"/>
        <v>70</v>
      </c>
    </row>
    <row r="310" spans="1:16" ht="18.75">
      <c r="A310" s="1105"/>
      <c r="B310" s="1105"/>
      <c r="C310" s="1105"/>
      <c r="D310" s="552" t="s">
        <v>924</v>
      </c>
      <c r="E310" s="492" t="s">
        <v>812</v>
      </c>
      <c r="F310" s="587">
        <v>1</v>
      </c>
      <c r="G310" s="587"/>
      <c r="H310" s="587" t="s">
        <v>782</v>
      </c>
      <c r="I310" s="506">
        <v>30000</v>
      </c>
      <c r="J310" s="693" t="s">
        <v>38</v>
      </c>
      <c r="K310" s="456" t="s">
        <v>39</v>
      </c>
      <c r="L310" s="456" t="s">
        <v>40</v>
      </c>
      <c r="M310" s="587" t="s">
        <v>43</v>
      </c>
      <c r="N310" s="506">
        <v>0</v>
      </c>
      <c r="O310" s="571">
        <f t="shared" si="20"/>
        <v>0</v>
      </c>
    </row>
    <row r="311" spans="1:16" s="533" customFormat="1" ht="34.5" customHeight="1">
      <c r="A311" s="1076" t="s">
        <v>1063</v>
      </c>
      <c r="B311" s="1077"/>
      <c r="C311" s="1077"/>
      <c r="D311" s="1078"/>
      <c r="E311" s="729"/>
      <c r="F311" s="730"/>
      <c r="G311" s="730"/>
      <c r="H311" s="731"/>
      <c r="I311" s="732">
        <f>(+I310+I309+I308+I307+I306+I305+I304)</f>
        <v>202872</v>
      </c>
      <c r="J311" s="732"/>
      <c r="K311" s="735"/>
      <c r="L311" s="732"/>
      <c r="M311" s="732"/>
      <c r="N311" s="732">
        <f t="shared" ref="N311:O311" si="25">(+N310+N309+N308+N307+N306+N305+N304)</f>
        <v>232.18</v>
      </c>
      <c r="O311" s="732">
        <f t="shared" si="25"/>
        <v>1625.26</v>
      </c>
    </row>
    <row r="312" spans="1:16" ht="18.75">
      <c r="A312" s="1103" t="s">
        <v>925</v>
      </c>
      <c r="B312" s="1103" t="s">
        <v>926</v>
      </c>
      <c r="C312" s="1103" t="s">
        <v>927</v>
      </c>
      <c r="D312" s="552" t="s">
        <v>928</v>
      </c>
      <c r="E312" s="492" t="s">
        <v>707</v>
      </c>
      <c r="F312" s="587">
        <v>10000</v>
      </c>
      <c r="G312" s="587"/>
      <c r="H312" s="587" t="s">
        <v>782</v>
      </c>
      <c r="I312" s="506">
        <v>50000</v>
      </c>
      <c r="J312" s="693" t="s">
        <v>38</v>
      </c>
      <c r="K312" s="456" t="s">
        <v>39</v>
      </c>
      <c r="L312" s="456" t="s">
        <v>40</v>
      </c>
      <c r="M312" s="587" t="s">
        <v>43</v>
      </c>
      <c r="N312" s="506">
        <v>125</v>
      </c>
      <c r="O312" s="571">
        <f t="shared" si="20"/>
        <v>875</v>
      </c>
    </row>
    <row r="313" spans="1:16" ht="18.75">
      <c r="A313" s="1104"/>
      <c r="B313" s="1104"/>
      <c r="C313" s="1104"/>
      <c r="D313" s="552" t="s">
        <v>917</v>
      </c>
      <c r="E313" s="492" t="s">
        <v>707</v>
      </c>
      <c r="F313" s="587">
        <v>6000</v>
      </c>
      <c r="G313" s="587"/>
      <c r="H313" s="587" t="s">
        <v>782</v>
      </c>
      <c r="I313" s="506">
        <v>120000</v>
      </c>
      <c r="J313" s="693" t="s">
        <v>38</v>
      </c>
      <c r="K313" s="456" t="s">
        <v>39</v>
      </c>
      <c r="L313" s="456" t="s">
        <v>40</v>
      </c>
      <c r="M313" s="587" t="s">
        <v>43</v>
      </c>
      <c r="N313" s="506">
        <v>100</v>
      </c>
      <c r="O313" s="571">
        <f t="shared" si="20"/>
        <v>700</v>
      </c>
    </row>
    <row r="314" spans="1:16" ht="18.75">
      <c r="A314" s="1104"/>
      <c r="B314" s="1104"/>
      <c r="C314" s="1104"/>
      <c r="D314" s="552" t="s">
        <v>929</v>
      </c>
      <c r="E314" s="492" t="s">
        <v>841</v>
      </c>
      <c r="F314" s="587">
        <v>250</v>
      </c>
      <c r="G314" s="587"/>
      <c r="H314" s="587" t="s">
        <v>782</v>
      </c>
      <c r="I314" s="506">
        <v>2500</v>
      </c>
      <c r="J314" s="693" t="s">
        <v>38</v>
      </c>
      <c r="K314" s="456" t="s">
        <v>39</v>
      </c>
      <c r="L314" s="456" t="s">
        <v>40</v>
      </c>
      <c r="M314" s="587" t="s">
        <v>43</v>
      </c>
      <c r="N314" s="506">
        <v>6.25</v>
      </c>
      <c r="O314" s="571">
        <f t="shared" si="20"/>
        <v>43.75</v>
      </c>
    </row>
    <row r="315" spans="1:16" ht="18.75">
      <c r="A315" s="1104"/>
      <c r="B315" s="1104"/>
      <c r="C315" s="1104"/>
      <c r="D315" s="552" t="s">
        <v>930</v>
      </c>
      <c r="E315" s="492" t="s">
        <v>920</v>
      </c>
      <c r="F315" s="587">
        <v>11</v>
      </c>
      <c r="G315" s="587"/>
      <c r="H315" s="587" t="s">
        <v>782</v>
      </c>
      <c r="I315" s="506">
        <v>8800</v>
      </c>
      <c r="J315" s="693" t="s">
        <v>38</v>
      </c>
      <c r="K315" s="456" t="s">
        <v>39</v>
      </c>
      <c r="L315" s="456" t="s">
        <v>40</v>
      </c>
      <c r="M315" s="587" t="s">
        <v>43</v>
      </c>
      <c r="N315" s="506">
        <v>22</v>
      </c>
      <c r="O315" s="571">
        <f t="shared" si="20"/>
        <v>154</v>
      </c>
    </row>
    <row r="316" spans="1:16" ht="18.75">
      <c r="A316" s="1104"/>
      <c r="B316" s="1104"/>
      <c r="C316" s="1104"/>
      <c r="D316" s="552" t="s">
        <v>921</v>
      </c>
      <c r="E316" s="492" t="s">
        <v>922</v>
      </c>
      <c r="F316" s="587">
        <v>10000</v>
      </c>
      <c r="G316" s="587"/>
      <c r="H316" s="587" t="s">
        <v>782</v>
      </c>
      <c r="I316" s="506">
        <v>20000</v>
      </c>
      <c r="J316" s="693" t="s">
        <v>38</v>
      </c>
      <c r="K316" s="456" t="s">
        <v>39</v>
      </c>
      <c r="L316" s="456" t="s">
        <v>40</v>
      </c>
      <c r="M316" s="587" t="s">
        <v>43</v>
      </c>
      <c r="N316" s="506">
        <v>50</v>
      </c>
      <c r="O316" s="571">
        <f t="shared" si="20"/>
        <v>350</v>
      </c>
    </row>
    <row r="317" spans="1:16" ht="18.75">
      <c r="A317" s="1104"/>
      <c r="B317" s="1104"/>
      <c r="C317" s="1104"/>
      <c r="D317" s="552" t="s">
        <v>923</v>
      </c>
      <c r="E317" s="492" t="s">
        <v>707</v>
      </c>
      <c r="F317" s="587">
        <v>2000</v>
      </c>
      <c r="G317" s="587"/>
      <c r="H317" s="587" t="s">
        <v>782</v>
      </c>
      <c r="I317" s="506">
        <v>4000</v>
      </c>
      <c r="J317" s="693" t="s">
        <v>38</v>
      </c>
      <c r="K317" s="456" t="s">
        <v>39</v>
      </c>
      <c r="L317" s="456" t="s">
        <v>40</v>
      </c>
      <c r="M317" s="587" t="s">
        <v>43</v>
      </c>
      <c r="N317" s="506">
        <v>10</v>
      </c>
      <c r="O317" s="571">
        <f t="shared" si="20"/>
        <v>70</v>
      </c>
    </row>
    <row r="318" spans="1:16" ht="18.75">
      <c r="A318" s="1105"/>
      <c r="B318" s="1105"/>
      <c r="C318" s="1105"/>
      <c r="D318" s="552" t="s">
        <v>924</v>
      </c>
      <c r="E318" s="492" t="s">
        <v>812</v>
      </c>
      <c r="F318" s="587">
        <v>1</v>
      </c>
      <c r="G318" s="587"/>
      <c r="H318" s="587" t="s">
        <v>782</v>
      </c>
      <c r="I318" s="506">
        <v>20000</v>
      </c>
      <c r="J318" s="693" t="s">
        <v>38</v>
      </c>
      <c r="K318" s="456" t="s">
        <v>39</v>
      </c>
      <c r="L318" s="456" t="s">
        <v>40</v>
      </c>
      <c r="M318" s="587" t="s">
        <v>43</v>
      </c>
      <c r="N318" s="506">
        <v>0</v>
      </c>
      <c r="O318" s="571">
        <f t="shared" si="20"/>
        <v>0</v>
      </c>
    </row>
    <row r="319" spans="1:16" s="533" customFormat="1" ht="34.5" customHeight="1">
      <c r="A319" s="1076" t="s">
        <v>1063</v>
      </c>
      <c r="B319" s="1077"/>
      <c r="C319" s="1077"/>
      <c r="D319" s="1078"/>
      <c r="E319" s="729"/>
      <c r="F319" s="730"/>
      <c r="G319" s="730"/>
      <c r="H319" s="731"/>
      <c r="I319" s="732">
        <f>SUM(I312:I318)</f>
        <v>225300</v>
      </c>
      <c r="J319" s="732"/>
      <c r="K319" s="735"/>
      <c r="L319" s="732"/>
      <c r="M319" s="732"/>
      <c r="N319" s="732">
        <f>SUM(N312:N318)</f>
        <v>313.25</v>
      </c>
      <c r="O319" s="732">
        <f>SUM(O312:O318)</f>
        <v>2192.75</v>
      </c>
      <c r="P319" s="106">
        <f>SUM(N319:O319)</f>
        <v>2506</v>
      </c>
    </row>
    <row r="320" spans="1:16" ht="18" customHeight="1">
      <c r="A320" s="1103" t="s">
        <v>67</v>
      </c>
      <c r="B320" s="1103" t="s">
        <v>788</v>
      </c>
      <c r="C320" s="1103" t="s">
        <v>807</v>
      </c>
      <c r="D320" s="552" t="s">
        <v>928</v>
      </c>
      <c r="E320" s="492" t="s">
        <v>808</v>
      </c>
      <c r="F320" s="587">
        <v>10000</v>
      </c>
      <c r="G320" s="587"/>
      <c r="H320" s="587" t="s">
        <v>782</v>
      </c>
      <c r="I320" s="506">
        <v>50000</v>
      </c>
      <c r="J320" s="693" t="s">
        <v>38</v>
      </c>
      <c r="K320" s="456" t="s">
        <v>39</v>
      </c>
      <c r="L320" s="456" t="s">
        <v>40</v>
      </c>
      <c r="M320" s="587" t="s">
        <v>43</v>
      </c>
      <c r="N320" s="506">
        <v>125</v>
      </c>
      <c r="O320" s="571">
        <f t="shared" si="20"/>
        <v>875</v>
      </c>
    </row>
    <row r="321" spans="1:15" ht="18" customHeight="1">
      <c r="A321" s="1104"/>
      <c r="B321" s="1104"/>
      <c r="C321" s="1104"/>
      <c r="D321" s="552" t="s">
        <v>923</v>
      </c>
      <c r="E321" s="492" t="s">
        <v>808</v>
      </c>
      <c r="F321" s="587">
        <v>2000</v>
      </c>
      <c r="G321" s="587"/>
      <c r="H321" s="587" t="s">
        <v>782</v>
      </c>
      <c r="I321" s="506">
        <v>4000</v>
      </c>
      <c r="J321" s="693" t="s">
        <v>38</v>
      </c>
      <c r="K321" s="456" t="s">
        <v>39</v>
      </c>
      <c r="L321" s="456" t="s">
        <v>40</v>
      </c>
      <c r="M321" s="587" t="s">
        <v>43</v>
      </c>
      <c r="N321" s="506">
        <v>10</v>
      </c>
      <c r="O321" s="571">
        <f t="shared" si="20"/>
        <v>70</v>
      </c>
    </row>
    <row r="322" spans="1:15" ht="18.75">
      <c r="A322" s="1104"/>
      <c r="B322" s="1104"/>
      <c r="C322" s="1104"/>
      <c r="D322" s="552" t="s">
        <v>917</v>
      </c>
      <c r="E322" s="492" t="s">
        <v>808</v>
      </c>
      <c r="F322" s="587">
        <v>6000</v>
      </c>
      <c r="G322" s="587"/>
      <c r="H322" s="587" t="s">
        <v>782</v>
      </c>
      <c r="I322" s="506">
        <v>120000</v>
      </c>
      <c r="J322" s="693" t="s">
        <v>38</v>
      </c>
      <c r="K322" s="456" t="s">
        <v>39</v>
      </c>
      <c r="L322" s="456" t="s">
        <v>40</v>
      </c>
      <c r="M322" s="587" t="s">
        <v>43</v>
      </c>
      <c r="N322" s="506">
        <v>100</v>
      </c>
      <c r="O322" s="571">
        <f t="shared" si="20"/>
        <v>700</v>
      </c>
    </row>
    <row r="323" spans="1:15" ht="18" customHeight="1">
      <c r="A323" s="1104"/>
      <c r="B323" s="1104"/>
      <c r="C323" s="1104"/>
      <c r="D323" s="552" t="s">
        <v>931</v>
      </c>
      <c r="E323" s="492" t="s">
        <v>841</v>
      </c>
      <c r="F323" s="587">
        <v>300</v>
      </c>
      <c r="G323" s="587"/>
      <c r="H323" s="587" t="s">
        <v>782</v>
      </c>
      <c r="I323" s="506">
        <v>3000</v>
      </c>
      <c r="J323" s="693" t="s">
        <v>38</v>
      </c>
      <c r="K323" s="456" t="s">
        <v>39</v>
      </c>
      <c r="L323" s="456" t="s">
        <v>40</v>
      </c>
      <c r="M323" s="587" t="s">
        <v>43</v>
      </c>
      <c r="N323" s="506">
        <v>7.5</v>
      </c>
      <c r="O323" s="571">
        <f t="shared" si="20"/>
        <v>52.5</v>
      </c>
    </row>
    <row r="324" spans="1:15" ht="18" customHeight="1">
      <c r="A324" s="1104"/>
      <c r="B324" s="1104"/>
      <c r="C324" s="1104"/>
      <c r="D324" s="552" t="s">
        <v>919</v>
      </c>
      <c r="E324" s="492" t="s">
        <v>932</v>
      </c>
      <c r="F324" s="587">
        <v>20</v>
      </c>
      <c r="G324" s="587"/>
      <c r="H324" s="587" t="s">
        <v>782</v>
      </c>
      <c r="I324" s="506">
        <v>16000</v>
      </c>
      <c r="J324" s="693" t="s">
        <v>38</v>
      </c>
      <c r="K324" s="456" t="s">
        <v>39</v>
      </c>
      <c r="L324" s="456" t="s">
        <v>40</v>
      </c>
      <c r="M324" s="587" t="s">
        <v>43</v>
      </c>
      <c r="N324" s="506">
        <v>40</v>
      </c>
      <c r="O324" s="571">
        <f t="shared" si="20"/>
        <v>280</v>
      </c>
    </row>
    <row r="325" spans="1:15" ht="18" customHeight="1">
      <c r="A325" s="1104"/>
      <c r="B325" s="1104"/>
      <c r="C325" s="1104"/>
      <c r="D325" s="552" t="s">
        <v>921</v>
      </c>
      <c r="E325" s="492" t="s">
        <v>922</v>
      </c>
      <c r="F325" s="587">
        <v>10000</v>
      </c>
      <c r="G325" s="587"/>
      <c r="H325" s="587" t="s">
        <v>782</v>
      </c>
      <c r="I325" s="506">
        <v>20000</v>
      </c>
      <c r="J325" s="693" t="s">
        <v>38</v>
      </c>
      <c r="K325" s="456" t="s">
        <v>39</v>
      </c>
      <c r="L325" s="456" t="s">
        <v>40</v>
      </c>
      <c r="M325" s="587" t="s">
        <v>43</v>
      </c>
      <c r="N325" s="506">
        <v>50</v>
      </c>
      <c r="O325" s="571">
        <f t="shared" si="20"/>
        <v>350</v>
      </c>
    </row>
    <row r="326" spans="1:15" ht="18" customHeight="1">
      <c r="A326" s="1105"/>
      <c r="B326" s="1105"/>
      <c r="C326" s="1105"/>
      <c r="D326" s="552" t="s">
        <v>924</v>
      </c>
      <c r="E326" s="492" t="s">
        <v>812</v>
      </c>
      <c r="F326" s="587">
        <v>1</v>
      </c>
      <c r="G326" s="587"/>
      <c r="H326" s="587" t="s">
        <v>782</v>
      </c>
      <c r="I326" s="506">
        <v>20000</v>
      </c>
      <c r="J326" s="693" t="s">
        <v>38</v>
      </c>
      <c r="K326" s="456" t="s">
        <v>39</v>
      </c>
      <c r="L326" s="456" t="s">
        <v>40</v>
      </c>
      <c r="M326" s="587" t="s">
        <v>43</v>
      </c>
      <c r="N326" s="506">
        <v>0</v>
      </c>
      <c r="O326" s="571">
        <f t="shared" si="20"/>
        <v>0</v>
      </c>
    </row>
    <row r="327" spans="1:15" s="533" customFormat="1" ht="34.5" customHeight="1">
      <c r="A327" s="1076" t="s">
        <v>1063</v>
      </c>
      <c r="B327" s="1077"/>
      <c r="C327" s="1077"/>
      <c r="D327" s="1078"/>
      <c r="E327" s="729"/>
      <c r="F327" s="730"/>
      <c r="G327" s="730"/>
      <c r="H327" s="731"/>
      <c r="I327" s="732">
        <f>SUM(I320:I326)</f>
        <v>233000</v>
      </c>
      <c r="J327" s="732"/>
      <c r="K327" s="735"/>
      <c r="L327" s="732"/>
      <c r="M327" s="732"/>
      <c r="N327" s="732">
        <f>SUM(N320:N326)</f>
        <v>332.5</v>
      </c>
      <c r="O327" s="732">
        <f>SUM(O320:O326)</f>
        <v>2327.5</v>
      </c>
    </row>
    <row r="328" spans="1:15" ht="18.75">
      <c r="A328" s="1129" t="s">
        <v>68</v>
      </c>
      <c r="B328" s="1129" t="s">
        <v>809</v>
      </c>
      <c r="C328" s="1129" t="s">
        <v>810</v>
      </c>
      <c r="D328" s="552" t="s">
        <v>933</v>
      </c>
      <c r="E328" s="492" t="s">
        <v>707</v>
      </c>
      <c r="F328" s="587">
        <v>60000</v>
      </c>
      <c r="G328" s="587"/>
      <c r="H328" s="587" t="s">
        <v>782</v>
      </c>
      <c r="I328" s="506">
        <v>300000</v>
      </c>
      <c r="J328" s="693" t="s">
        <v>38</v>
      </c>
      <c r="K328" s="456" t="s">
        <v>39</v>
      </c>
      <c r="L328" s="456" t="s">
        <v>40</v>
      </c>
      <c r="M328" s="587" t="s">
        <v>43</v>
      </c>
      <c r="N328" s="506">
        <v>750</v>
      </c>
      <c r="O328" s="571">
        <f t="shared" si="20"/>
        <v>5250</v>
      </c>
    </row>
    <row r="329" spans="1:15" ht="18.75">
      <c r="A329" s="1130"/>
      <c r="B329" s="1130"/>
      <c r="C329" s="1130"/>
      <c r="D329" s="552" t="s">
        <v>934</v>
      </c>
      <c r="E329" s="492" t="s">
        <v>935</v>
      </c>
      <c r="F329" s="587">
        <v>1000</v>
      </c>
      <c r="G329" s="587"/>
      <c r="H329" s="587" t="s">
        <v>782</v>
      </c>
      <c r="I329" s="506">
        <v>20000</v>
      </c>
      <c r="J329" s="693" t="s">
        <v>38</v>
      </c>
      <c r="K329" s="456" t="s">
        <v>39</v>
      </c>
      <c r="L329" s="456" t="s">
        <v>40</v>
      </c>
      <c r="M329" s="587" t="s">
        <v>43</v>
      </c>
      <c r="N329" s="506">
        <v>50</v>
      </c>
      <c r="O329" s="571">
        <f t="shared" si="20"/>
        <v>350</v>
      </c>
    </row>
    <row r="330" spans="1:15" ht="18.75">
      <c r="A330" s="1130"/>
      <c r="B330" s="1130"/>
      <c r="C330" s="1130"/>
      <c r="D330" s="552" t="s">
        <v>936</v>
      </c>
      <c r="E330" s="492" t="s">
        <v>841</v>
      </c>
      <c r="F330" s="587">
        <v>500</v>
      </c>
      <c r="G330" s="587"/>
      <c r="H330" s="587" t="s">
        <v>782</v>
      </c>
      <c r="I330" s="506">
        <v>5000</v>
      </c>
      <c r="J330" s="693" t="s">
        <v>38</v>
      </c>
      <c r="K330" s="456" t="s">
        <v>39</v>
      </c>
      <c r="L330" s="456" t="s">
        <v>40</v>
      </c>
      <c r="M330" s="587" t="s">
        <v>43</v>
      </c>
      <c r="N330" s="506">
        <v>12.5</v>
      </c>
      <c r="O330" s="571">
        <f t="shared" si="20"/>
        <v>87.5</v>
      </c>
    </row>
    <row r="331" spans="1:15" ht="18.75">
      <c r="A331" s="1130"/>
      <c r="B331" s="1130"/>
      <c r="C331" s="1130"/>
      <c r="D331" s="552" t="s">
        <v>937</v>
      </c>
      <c r="E331" s="492" t="s">
        <v>707</v>
      </c>
      <c r="F331" s="587">
        <v>4000</v>
      </c>
      <c r="G331" s="587"/>
      <c r="H331" s="587" t="s">
        <v>782</v>
      </c>
      <c r="I331" s="506">
        <v>8000</v>
      </c>
      <c r="J331" s="693" t="s">
        <v>38</v>
      </c>
      <c r="K331" s="456" t="s">
        <v>39</v>
      </c>
      <c r="L331" s="456" t="s">
        <v>40</v>
      </c>
      <c r="M331" s="587" t="s">
        <v>43</v>
      </c>
      <c r="N331" s="506">
        <v>20</v>
      </c>
      <c r="O331" s="571">
        <f t="shared" si="20"/>
        <v>140</v>
      </c>
    </row>
    <row r="332" spans="1:15" ht="18.75">
      <c r="A332" s="1130"/>
      <c r="B332" s="1130"/>
      <c r="C332" s="1130"/>
      <c r="D332" s="552" t="s">
        <v>924</v>
      </c>
      <c r="E332" s="492" t="s">
        <v>812</v>
      </c>
      <c r="F332" s="587">
        <v>1</v>
      </c>
      <c r="G332" s="587"/>
      <c r="H332" s="587" t="s">
        <v>782</v>
      </c>
      <c r="I332" s="506">
        <v>200000</v>
      </c>
      <c r="J332" s="693" t="s">
        <v>38</v>
      </c>
      <c r="K332" s="456" t="s">
        <v>39</v>
      </c>
      <c r="L332" s="456" t="s">
        <v>40</v>
      </c>
      <c r="M332" s="587" t="s">
        <v>43</v>
      </c>
      <c r="N332" s="506">
        <v>0</v>
      </c>
      <c r="O332" s="571">
        <f t="shared" si="20"/>
        <v>0</v>
      </c>
    </row>
    <row r="333" spans="1:15" ht="36">
      <c r="A333" s="1131"/>
      <c r="B333" s="1131"/>
      <c r="C333" s="1131"/>
      <c r="D333" s="553" t="s">
        <v>811</v>
      </c>
      <c r="E333" s="492" t="s">
        <v>812</v>
      </c>
      <c r="F333" s="587">
        <v>1</v>
      </c>
      <c r="G333" s="587"/>
      <c r="H333" s="587" t="s">
        <v>782</v>
      </c>
      <c r="I333" s="506">
        <v>10865694</v>
      </c>
      <c r="J333" s="693" t="s">
        <v>38</v>
      </c>
      <c r="K333" s="456" t="s">
        <v>39</v>
      </c>
      <c r="L333" s="456" t="s">
        <v>40</v>
      </c>
      <c r="M333" s="587" t="s">
        <v>43</v>
      </c>
      <c r="N333" s="506">
        <f>(25*I333/100/400)</f>
        <v>6791.0587500000001</v>
      </c>
      <c r="O333" s="571">
        <f t="shared" si="20"/>
        <v>47537.411250000005</v>
      </c>
    </row>
    <row r="334" spans="1:15" s="533" customFormat="1" ht="34.5" customHeight="1">
      <c r="A334" s="1076" t="s">
        <v>1063</v>
      </c>
      <c r="B334" s="1077"/>
      <c r="C334" s="1077"/>
      <c r="D334" s="1078"/>
      <c r="E334" s="729"/>
      <c r="F334" s="730"/>
      <c r="G334" s="730"/>
      <c r="H334" s="731"/>
      <c r="I334" s="732">
        <f>SUM(I328:I333)</f>
        <v>11398694</v>
      </c>
      <c r="J334" s="732"/>
      <c r="K334" s="735"/>
      <c r="L334" s="732"/>
      <c r="M334" s="732"/>
      <c r="N334" s="732">
        <f>SUM(N328:N333)</f>
        <v>7623.5587500000001</v>
      </c>
      <c r="O334" s="732">
        <f>SUM(O328:O333)</f>
        <v>53364.911250000005</v>
      </c>
    </row>
    <row r="335" spans="1:15" ht="15.75" customHeight="1">
      <c r="A335" s="766" t="s">
        <v>70</v>
      </c>
      <c r="B335" s="766" t="s">
        <v>938</v>
      </c>
      <c r="C335" s="766" t="s">
        <v>939</v>
      </c>
      <c r="D335" s="552" t="s">
        <v>940</v>
      </c>
      <c r="E335" s="492" t="s">
        <v>707</v>
      </c>
      <c r="F335" s="587">
        <v>8000</v>
      </c>
      <c r="G335" s="587"/>
      <c r="H335" s="587" t="s">
        <v>782</v>
      </c>
      <c r="I335" s="506">
        <v>40000</v>
      </c>
      <c r="J335" s="693" t="s">
        <v>38</v>
      </c>
      <c r="K335" s="456" t="s">
        <v>39</v>
      </c>
      <c r="L335" s="456" t="s">
        <v>40</v>
      </c>
      <c r="M335" s="587" t="s">
        <v>43</v>
      </c>
      <c r="N335" s="506">
        <v>100</v>
      </c>
      <c r="O335" s="571">
        <f t="shared" si="20"/>
        <v>700</v>
      </c>
    </row>
    <row r="336" spans="1:15" ht="18.75">
      <c r="A336" s="767"/>
      <c r="B336" s="767"/>
      <c r="C336" s="767"/>
      <c r="D336" s="552" t="s">
        <v>923</v>
      </c>
      <c r="E336" s="492" t="s">
        <v>707</v>
      </c>
      <c r="F336" s="587">
        <v>2000</v>
      </c>
      <c r="G336" s="587"/>
      <c r="H336" s="587" t="s">
        <v>782</v>
      </c>
      <c r="I336" s="506">
        <v>4000</v>
      </c>
      <c r="J336" s="693" t="s">
        <v>38</v>
      </c>
      <c r="K336" s="456" t="s">
        <v>39</v>
      </c>
      <c r="L336" s="456" t="s">
        <v>40</v>
      </c>
      <c r="M336" s="587" t="s">
        <v>43</v>
      </c>
      <c r="N336" s="506">
        <v>10</v>
      </c>
      <c r="O336" s="571">
        <f t="shared" si="20"/>
        <v>70</v>
      </c>
    </row>
    <row r="337" spans="1:15" ht="18.75">
      <c r="A337" s="767"/>
      <c r="B337" s="767"/>
      <c r="C337" s="767"/>
      <c r="D337" s="552" t="s">
        <v>917</v>
      </c>
      <c r="E337" s="492" t="s">
        <v>707</v>
      </c>
      <c r="F337" s="587">
        <v>6000</v>
      </c>
      <c r="G337" s="587"/>
      <c r="H337" s="587" t="s">
        <v>782</v>
      </c>
      <c r="I337" s="506">
        <v>120000</v>
      </c>
      <c r="J337" s="693" t="s">
        <v>38</v>
      </c>
      <c r="K337" s="456" t="s">
        <v>39</v>
      </c>
      <c r="L337" s="456" t="s">
        <v>40</v>
      </c>
      <c r="M337" s="587" t="s">
        <v>43</v>
      </c>
      <c r="N337" s="506">
        <v>100</v>
      </c>
      <c r="O337" s="571">
        <f t="shared" si="20"/>
        <v>700</v>
      </c>
    </row>
    <row r="338" spans="1:15" ht="18.75">
      <c r="A338" s="767"/>
      <c r="B338" s="767"/>
      <c r="C338" s="767"/>
      <c r="D338" s="552" t="s">
        <v>929</v>
      </c>
      <c r="E338" s="492" t="s">
        <v>841</v>
      </c>
      <c r="F338" s="587">
        <v>250</v>
      </c>
      <c r="G338" s="587"/>
      <c r="H338" s="587" t="s">
        <v>782</v>
      </c>
      <c r="I338" s="506">
        <v>2500</v>
      </c>
      <c r="J338" s="693" t="s">
        <v>38</v>
      </c>
      <c r="K338" s="456" t="s">
        <v>39</v>
      </c>
      <c r="L338" s="456" t="s">
        <v>40</v>
      </c>
      <c r="M338" s="587" t="s">
        <v>43</v>
      </c>
      <c r="N338" s="506">
        <v>6.25</v>
      </c>
      <c r="O338" s="571">
        <f t="shared" si="20"/>
        <v>43.75</v>
      </c>
    </row>
    <row r="339" spans="1:15" ht="18.75">
      <c r="A339" s="767"/>
      <c r="B339" s="767"/>
      <c r="C339" s="767"/>
      <c r="D339" s="552" t="s">
        <v>941</v>
      </c>
      <c r="E339" s="492" t="s">
        <v>920</v>
      </c>
      <c r="F339" s="587">
        <v>12</v>
      </c>
      <c r="G339" s="587"/>
      <c r="H339" s="587" t="s">
        <v>782</v>
      </c>
      <c r="I339" s="506">
        <v>9600</v>
      </c>
      <c r="J339" s="693" t="s">
        <v>38</v>
      </c>
      <c r="K339" s="456" t="s">
        <v>39</v>
      </c>
      <c r="L339" s="456" t="s">
        <v>40</v>
      </c>
      <c r="M339" s="587" t="s">
        <v>43</v>
      </c>
      <c r="N339" s="506">
        <v>24</v>
      </c>
      <c r="O339" s="571">
        <f t="shared" ref="O339:O402" si="26">N339*7</f>
        <v>168</v>
      </c>
    </row>
    <row r="340" spans="1:15" ht="18.75">
      <c r="A340" s="767"/>
      <c r="B340" s="767"/>
      <c r="C340" s="767"/>
      <c r="D340" s="552" t="s">
        <v>924</v>
      </c>
      <c r="E340" s="492" t="s">
        <v>812</v>
      </c>
      <c r="F340" s="587">
        <v>1</v>
      </c>
      <c r="G340" s="587"/>
      <c r="H340" s="587" t="s">
        <v>782</v>
      </c>
      <c r="I340" s="506">
        <v>30000</v>
      </c>
      <c r="J340" s="693" t="s">
        <v>38</v>
      </c>
      <c r="K340" s="456" t="s">
        <v>39</v>
      </c>
      <c r="L340" s="456" t="s">
        <v>40</v>
      </c>
      <c r="M340" s="587" t="s">
        <v>43</v>
      </c>
      <c r="N340" s="506">
        <v>0</v>
      </c>
      <c r="O340" s="571">
        <f t="shared" si="26"/>
        <v>0</v>
      </c>
    </row>
    <row r="341" spans="1:15" ht="28.5" customHeight="1">
      <c r="A341" s="767"/>
      <c r="B341" s="767"/>
      <c r="C341" s="767"/>
      <c r="D341" s="805" t="s">
        <v>942</v>
      </c>
      <c r="E341" s="492" t="s">
        <v>943</v>
      </c>
      <c r="F341" s="587">
        <v>1</v>
      </c>
      <c r="G341" s="587"/>
      <c r="H341" s="587" t="s">
        <v>782</v>
      </c>
      <c r="I341" s="506">
        <v>1250000</v>
      </c>
      <c r="J341" s="693" t="s">
        <v>38</v>
      </c>
      <c r="K341" s="456" t="s">
        <v>39</v>
      </c>
      <c r="L341" s="456" t="s">
        <v>40</v>
      </c>
      <c r="M341" s="587" t="s">
        <v>43</v>
      </c>
      <c r="N341" s="506">
        <f>(25*I341/100/400)</f>
        <v>781.25</v>
      </c>
      <c r="O341" s="571">
        <f t="shared" si="26"/>
        <v>5468.75</v>
      </c>
    </row>
    <row r="342" spans="1:15" s="533" customFormat="1" ht="42" customHeight="1">
      <c r="A342" s="1076" t="s">
        <v>1063</v>
      </c>
      <c r="B342" s="1077"/>
      <c r="C342" s="1077"/>
      <c r="D342" s="1078"/>
      <c r="E342" s="729"/>
      <c r="F342" s="730"/>
      <c r="G342" s="730"/>
      <c r="H342" s="731"/>
      <c r="I342" s="732">
        <f>SUM(I335:I341)</f>
        <v>1456100</v>
      </c>
      <c r="J342" s="732"/>
      <c r="K342" s="735"/>
      <c r="L342" s="732"/>
      <c r="M342" s="732"/>
      <c r="N342" s="732">
        <f>SUM(N335:N341)</f>
        <v>1021.5</v>
      </c>
      <c r="O342" s="732">
        <f>SUM(O335:O341)</f>
        <v>7150.5</v>
      </c>
    </row>
    <row r="343" spans="1:15" ht="18.75">
      <c r="A343" s="1132" t="s">
        <v>41</v>
      </c>
      <c r="B343" s="1132" t="s">
        <v>23</v>
      </c>
      <c r="C343" s="1132" t="s">
        <v>813</v>
      </c>
      <c r="D343" s="806" t="s">
        <v>940</v>
      </c>
      <c r="E343" s="493" t="s">
        <v>707</v>
      </c>
      <c r="F343" s="587">
        <v>8000</v>
      </c>
      <c r="G343" s="587"/>
      <c r="H343" s="588" t="s">
        <v>782</v>
      </c>
      <c r="I343" s="704">
        <v>40000</v>
      </c>
      <c r="J343" s="694" t="s">
        <v>38</v>
      </c>
      <c r="K343" s="636" t="s">
        <v>39</v>
      </c>
      <c r="L343" s="436" t="s">
        <v>40</v>
      </c>
      <c r="M343" s="588" t="s">
        <v>43</v>
      </c>
      <c r="N343" s="704">
        <v>100</v>
      </c>
      <c r="O343" s="571">
        <f t="shared" si="26"/>
        <v>700</v>
      </c>
    </row>
    <row r="344" spans="1:15" ht="18.75">
      <c r="A344" s="1133"/>
      <c r="B344" s="1133"/>
      <c r="C344" s="1133"/>
      <c r="D344" s="554" t="s">
        <v>944</v>
      </c>
      <c r="E344" s="494" t="s">
        <v>707</v>
      </c>
      <c r="F344" s="587"/>
      <c r="G344" s="587"/>
      <c r="H344" s="588" t="s">
        <v>782</v>
      </c>
      <c r="I344" s="704">
        <v>160000</v>
      </c>
      <c r="J344" s="694" t="s">
        <v>38</v>
      </c>
      <c r="K344" s="636" t="s">
        <v>39</v>
      </c>
      <c r="L344" s="436" t="s">
        <v>40</v>
      </c>
      <c r="M344" s="588" t="s">
        <v>43</v>
      </c>
      <c r="N344" s="704">
        <v>133.33333333333334</v>
      </c>
      <c r="O344" s="571">
        <f t="shared" si="26"/>
        <v>933.33333333333337</v>
      </c>
    </row>
    <row r="345" spans="1:15" ht="18.75">
      <c r="A345" s="1133"/>
      <c r="B345" s="1133"/>
      <c r="C345" s="1133"/>
      <c r="D345" s="554" t="s">
        <v>929</v>
      </c>
      <c r="E345" s="494" t="s">
        <v>841</v>
      </c>
      <c r="F345" s="587"/>
      <c r="G345" s="587"/>
      <c r="H345" s="588" t="s">
        <v>782</v>
      </c>
      <c r="I345" s="704">
        <v>2500</v>
      </c>
      <c r="J345" s="694" t="s">
        <v>38</v>
      </c>
      <c r="K345" s="636" t="s">
        <v>39</v>
      </c>
      <c r="L345" s="436" t="s">
        <v>40</v>
      </c>
      <c r="M345" s="588" t="s">
        <v>43</v>
      </c>
      <c r="N345" s="704">
        <v>6.25</v>
      </c>
      <c r="O345" s="571">
        <f t="shared" si="26"/>
        <v>43.75</v>
      </c>
    </row>
    <row r="346" spans="1:15" ht="18.75">
      <c r="A346" s="1133"/>
      <c r="B346" s="1133"/>
      <c r="C346" s="1133"/>
      <c r="D346" s="554" t="s">
        <v>941</v>
      </c>
      <c r="E346" s="494" t="s">
        <v>920</v>
      </c>
      <c r="F346" s="587"/>
      <c r="G346" s="587"/>
      <c r="H346" s="588" t="s">
        <v>782</v>
      </c>
      <c r="I346" s="704">
        <v>9600</v>
      </c>
      <c r="J346" s="694" t="s">
        <v>38</v>
      </c>
      <c r="K346" s="636" t="s">
        <v>39</v>
      </c>
      <c r="L346" s="436" t="s">
        <v>40</v>
      </c>
      <c r="M346" s="588" t="s">
        <v>43</v>
      </c>
      <c r="N346" s="704">
        <v>24</v>
      </c>
      <c r="O346" s="571">
        <f t="shared" si="26"/>
        <v>168</v>
      </c>
    </row>
    <row r="347" spans="1:15" ht="18.75">
      <c r="A347" s="1134"/>
      <c r="B347" s="1134"/>
      <c r="C347" s="1134"/>
      <c r="D347" s="552" t="s">
        <v>924</v>
      </c>
      <c r="E347" s="492" t="s">
        <v>812</v>
      </c>
      <c r="F347" s="587">
        <v>1</v>
      </c>
      <c r="G347" s="587"/>
      <c r="H347" s="587" t="s">
        <v>782</v>
      </c>
      <c r="I347" s="704">
        <v>30000</v>
      </c>
      <c r="J347" s="693" t="s">
        <v>38</v>
      </c>
      <c r="K347" s="456" t="s">
        <v>39</v>
      </c>
      <c r="L347" s="456" t="s">
        <v>40</v>
      </c>
      <c r="M347" s="587" t="s">
        <v>43</v>
      </c>
      <c r="N347" s="506">
        <v>0</v>
      </c>
      <c r="O347" s="571">
        <f t="shared" si="26"/>
        <v>0</v>
      </c>
    </row>
    <row r="348" spans="1:15" s="533" customFormat="1" ht="34.5" customHeight="1">
      <c r="A348" s="1076" t="s">
        <v>1063</v>
      </c>
      <c r="B348" s="1077"/>
      <c r="C348" s="1077"/>
      <c r="D348" s="1078"/>
      <c r="E348" s="729"/>
      <c r="F348" s="730"/>
      <c r="G348" s="730"/>
      <c r="H348" s="731"/>
      <c r="I348" s="732">
        <f>SUM(I343:I347)</f>
        <v>242100</v>
      </c>
      <c r="J348" s="732"/>
      <c r="K348" s="735"/>
      <c r="L348" s="732"/>
      <c r="M348" s="732"/>
      <c r="N348" s="732">
        <f>SUM(N343:N347)</f>
        <v>263.58333333333337</v>
      </c>
      <c r="O348" s="732">
        <f>SUM(O343:O347)</f>
        <v>1845.0833333333335</v>
      </c>
    </row>
    <row r="349" spans="1:15" ht="18.75">
      <c r="A349" s="1135" t="s">
        <v>53</v>
      </c>
      <c r="B349" s="1135" t="s">
        <v>814</v>
      </c>
      <c r="C349" s="1135" t="s">
        <v>815</v>
      </c>
      <c r="D349" s="555" t="s">
        <v>945</v>
      </c>
      <c r="E349" s="155" t="s">
        <v>707</v>
      </c>
      <c r="F349" s="589">
        <v>40000</v>
      </c>
      <c r="G349" s="589"/>
      <c r="H349" s="588" t="s">
        <v>782</v>
      </c>
      <c r="I349" s="704">
        <v>150000</v>
      </c>
      <c r="J349" s="694" t="s">
        <v>38</v>
      </c>
      <c r="K349" s="636" t="s">
        <v>39</v>
      </c>
      <c r="L349" s="436" t="s">
        <v>40</v>
      </c>
      <c r="M349" s="588" t="s">
        <v>43</v>
      </c>
      <c r="N349" s="704">
        <v>375</v>
      </c>
      <c r="O349" s="571">
        <f t="shared" si="26"/>
        <v>2625</v>
      </c>
    </row>
    <row r="350" spans="1:15" ht="18.75">
      <c r="A350" s="1136"/>
      <c r="B350" s="1136"/>
      <c r="C350" s="1136"/>
      <c r="D350" s="555" t="s">
        <v>937</v>
      </c>
      <c r="E350" s="155" t="s">
        <v>707</v>
      </c>
      <c r="F350" s="589">
        <v>4000</v>
      </c>
      <c r="G350" s="589"/>
      <c r="H350" s="588" t="s">
        <v>782</v>
      </c>
      <c r="I350" s="704">
        <v>8000</v>
      </c>
      <c r="J350" s="694" t="s">
        <v>38</v>
      </c>
      <c r="K350" s="636" t="s">
        <v>39</v>
      </c>
      <c r="L350" s="436" t="s">
        <v>40</v>
      </c>
      <c r="M350" s="588" t="s">
        <v>43</v>
      </c>
      <c r="N350" s="704">
        <v>20</v>
      </c>
      <c r="O350" s="571">
        <f t="shared" si="26"/>
        <v>140</v>
      </c>
    </row>
    <row r="351" spans="1:15" ht="18.75">
      <c r="A351" s="1136"/>
      <c r="B351" s="1136"/>
      <c r="C351" s="1136"/>
      <c r="D351" s="555" t="s">
        <v>946</v>
      </c>
      <c r="E351" s="155" t="s">
        <v>947</v>
      </c>
      <c r="F351" s="589">
        <v>20000</v>
      </c>
      <c r="G351" s="589"/>
      <c r="H351" s="588" t="s">
        <v>782</v>
      </c>
      <c r="I351" s="704">
        <v>26666.666666666664</v>
      </c>
      <c r="J351" s="694" t="s">
        <v>38</v>
      </c>
      <c r="K351" s="636" t="s">
        <v>39</v>
      </c>
      <c r="L351" s="436" t="s">
        <v>40</v>
      </c>
      <c r="M351" s="588" t="s">
        <v>43</v>
      </c>
      <c r="N351" s="704">
        <v>66.666666666666671</v>
      </c>
      <c r="O351" s="571">
        <f t="shared" si="26"/>
        <v>466.66666666666669</v>
      </c>
    </row>
    <row r="352" spans="1:15" ht="18.75">
      <c r="A352" s="1136"/>
      <c r="B352" s="1136"/>
      <c r="C352" s="1136"/>
      <c r="D352" s="555" t="s">
        <v>948</v>
      </c>
      <c r="E352" s="155" t="s">
        <v>707</v>
      </c>
      <c r="F352" s="589">
        <v>14000</v>
      </c>
      <c r="G352" s="589"/>
      <c r="H352" s="588" t="s">
        <v>782</v>
      </c>
      <c r="I352" s="704">
        <v>280000</v>
      </c>
      <c r="J352" s="694" t="s">
        <v>38</v>
      </c>
      <c r="K352" s="636" t="s">
        <v>39</v>
      </c>
      <c r="L352" s="436" t="s">
        <v>40</v>
      </c>
      <c r="M352" s="588" t="s">
        <v>43</v>
      </c>
      <c r="N352" s="704">
        <v>233.33333333333334</v>
      </c>
      <c r="O352" s="571">
        <f t="shared" si="26"/>
        <v>1633.3333333333335</v>
      </c>
    </row>
    <row r="353" spans="1:15" ht="18.75">
      <c r="A353" s="1136"/>
      <c r="B353" s="1136"/>
      <c r="C353" s="1136"/>
      <c r="D353" s="555" t="s">
        <v>949</v>
      </c>
      <c r="E353" s="155" t="s">
        <v>841</v>
      </c>
      <c r="F353" s="589">
        <v>300</v>
      </c>
      <c r="G353" s="589"/>
      <c r="H353" s="588" t="s">
        <v>782</v>
      </c>
      <c r="I353" s="704">
        <v>3000</v>
      </c>
      <c r="J353" s="694" t="s">
        <v>38</v>
      </c>
      <c r="K353" s="636" t="s">
        <v>39</v>
      </c>
      <c r="L353" s="436" t="s">
        <v>40</v>
      </c>
      <c r="M353" s="588" t="s">
        <v>43</v>
      </c>
      <c r="N353" s="704">
        <v>7.5</v>
      </c>
      <c r="O353" s="571">
        <f t="shared" si="26"/>
        <v>52.5</v>
      </c>
    </row>
    <row r="354" spans="1:15" ht="18.75">
      <c r="A354" s="1136"/>
      <c r="B354" s="1136"/>
      <c r="C354" s="1136"/>
      <c r="D354" s="555" t="s">
        <v>919</v>
      </c>
      <c r="E354" s="155" t="s">
        <v>920</v>
      </c>
      <c r="F354" s="589">
        <v>20</v>
      </c>
      <c r="G354" s="589"/>
      <c r="H354" s="588" t="s">
        <v>782</v>
      </c>
      <c r="I354" s="704">
        <v>16000</v>
      </c>
      <c r="J354" s="694" t="s">
        <v>38</v>
      </c>
      <c r="K354" s="636" t="s">
        <v>39</v>
      </c>
      <c r="L354" s="436" t="s">
        <v>40</v>
      </c>
      <c r="M354" s="588" t="s">
        <v>43</v>
      </c>
      <c r="N354" s="704">
        <v>40</v>
      </c>
      <c r="O354" s="571">
        <f t="shared" si="26"/>
        <v>280</v>
      </c>
    </row>
    <row r="355" spans="1:15" ht="18.75">
      <c r="A355" s="1136"/>
      <c r="B355" s="1136"/>
      <c r="C355" s="1136"/>
      <c r="D355" s="555" t="s">
        <v>950</v>
      </c>
      <c r="E355" s="155" t="s">
        <v>922</v>
      </c>
      <c r="F355" s="589">
        <v>15000</v>
      </c>
      <c r="G355" s="589"/>
      <c r="H355" s="588" t="s">
        <v>782</v>
      </c>
      <c r="I355" s="704">
        <v>20000</v>
      </c>
      <c r="J355" s="694" t="s">
        <v>38</v>
      </c>
      <c r="K355" s="636" t="s">
        <v>39</v>
      </c>
      <c r="L355" s="436" t="s">
        <v>40</v>
      </c>
      <c r="M355" s="588" t="s">
        <v>43</v>
      </c>
      <c r="N355" s="704">
        <v>50</v>
      </c>
      <c r="O355" s="571">
        <f t="shared" si="26"/>
        <v>350</v>
      </c>
    </row>
    <row r="356" spans="1:15" ht="18.75">
      <c r="A356" s="1137"/>
      <c r="B356" s="1137"/>
      <c r="C356" s="1137"/>
      <c r="D356" s="552" t="s">
        <v>924</v>
      </c>
      <c r="E356" s="155" t="s">
        <v>812</v>
      </c>
      <c r="F356" s="589">
        <v>1</v>
      </c>
      <c r="G356" s="589"/>
      <c r="H356" s="587" t="s">
        <v>782</v>
      </c>
      <c r="I356" s="704">
        <v>30000</v>
      </c>
      <c r="J356" s="693" t="s">
        <v>38</v>
      </c>
      <c r="K356" s="456" t="s">
        <v>39</v>
      </c>
      <c r="L356" s="456" t="s">
        <v>40</v>
      </c>
      <c r="M356" s="587" t="s">
        <v>43</v>
      </c>
      <c r="N356" s="704">
        <v>0</v>
      </c>
      <c r="O356" s="571">
        <f t="shared" si="26"/>
        <v>0</v>
      </c>
    </row>
    <row r="357" spans="1:15" s="533" customFormat="1" ht="34.5" customHeight="1">
      <c r="A357" s="1076" t="s">
        <v>1063</v>
      </c>
      <c r="B357" s="1077"/>
      <c r="C357" s="1077"/>
      <c r="D357" s="1078"/>
      <c r="E357" s="729"/>
      <c r="F357" s="730"/>
      <c r="G357" s="730"/>
      <c r="H357" s="731"/>
      <c r="I357" s="732">
        <f>SUM(I349:I356)</f>
        <v>533666.66666666663</v>
      </c>
      <c r="J357" s="732"/>
      <c r="K357" s="735"/>
      <c r="L357" s="732"/>
      <c r="M357" s="732"/>
      <c r="N357" s="732">
        <f>SUM(N349:N356)</f>
        <v>792.5</v>
      </c>
      <c r="O357" s="732">
        <f>SUM(O352:O356)</f>
        <v>2315.8333333333335</v>
      </c>
    </row>
    <row r="358" spans="1:15" ht="18.75">
      <c r="A358" s="1129" t="s">
        <v>30</v>
      </c>
      <c r="B358" s="1129" t="s">
        <v>23</v>
      </c>
      <c r="C358" s="1129" t="s">
        <v>951</v>
      </c>
      <c r="D358" s="552" t="s">
        <v>952</v>
      </c>
      <c r="E358" s="492" t="s">
        <v>707</v>
      </c>
      <c r="F358" s="587">
        <v>6000</v>
      </c>
      <c r="G358" s="587"/>
      <c r="H358" s="587" t="s">
        <v>782</v>
      </c>
      <c r="I358" s="506">
        <v>30000</v>
      </c>
      <c r="J358" s="693" t="s">
        <v>38</v>
      </c>
      <c r="K358" s="456" t="s">
        <v>39</v>
      </c>
      <c r="L358" s="456" t="s">
        <v>40</v>
      </c>
      <c r="M358" s="587" t="s">
        <v>43</v>
      </c>
      <c r="N358" s="506">
        <v>75</v>
      </c>
      <c r="O358" s="571">
        <f t="shared" si="26"/>
        <v>525</v>
      </c>
    </row>
    <row r="359" spans="1:15" ht="18.75">
      <c r="A359" s="1130"/>
      <c r="B359" s="1130"/>
      <c r="C359" s="1130"/>
      <c r="D359" s="552" t="s">
        <v>953</v>
      </c>
      <c r="E359" s="492" t="s">
        <v>707</v>
      </c>
      <c r="F359" s="587">
        <v>4000</v>
      </c>
      <c r="G359" s="587"/>
      <c r="H359" s="587" t="s">
        <v>782</v>
      </c>
      <c r="I359" s="506">
        <v>80000</v>
      </c>
      <c r="J359" s="693" t="s">
        <v>38</v>
      </c>
      <c r="K359" s="456" t="s">
        <v>39</v>
      </c>
      <c r="L359" s="456" t="s">
        <v>40</v>
      </c>
      <c r="M359" s="587" t="s">
        <v>43</v>
      </c>
      <c r="N359" s="506">
        <v>66.666666666666671</v>
      </c>
      <c r="O359" s="571">
        <f t="shared" si="26"/>
        <v>466.66666666666669</v>
      </c>
    </row>
    <row r="360" spans="1:15" ht="18.75">
      <c r="A360" s="1130"/>
      <c r="B360" s="1130"/>
      <c r="C360" s="1130"/>
      <c r="D360" s="552" t="s">
        <v>949</v>
      </c>
      <c r="E360" s="492" t="s">
        <v>841</v>
      </c>
      <c r="F360" s="587">
        <v>300</v>
      </c>
      <c r="G360" s="587"/>
      <c r="H360" s="587" t="s">
        <v>782</v>
      </c>
      <c r="I360" s="506">
        <v>3000</v>
      </c>
      <c r="J360" s="693" t="s">
        <v>38</v>
      </c>
      <c r="K360" s="456" t="s">
        <v>39</v>
      </c>
      <c r="L360" s="456" t="s">
        <v>40</v>
      </c>
      <c r="M360" s="587" t="s">
        <v>43</v>
      </c>
      <c r="N360" s="506">
        <v>7.5</v>
      </c>
      <c r="O360" s="571">
        <f t="shared" si="26"/>
        <v>52.5</v>
      </c>
    </row>
    <row r="361" spans="1:15" ht="18.75">
      <c r="A361" s="1130"/>
      <c r="B361" s="1130"/>
      <c r="C361" s="1130"/>
      <c r="D361" s="552" t="s">
        <v>954</v>
      </c>
      <c r="E361" s="492" t="s">
        <v>920</v>
      </c>
      <c r="F361" s="587">
        <v>15</v>
      </c>
      <c r="G361" s="587"/>
      <c r="H361" s="587" t="s">
        <v>782</v>
      </c>
      <c r="I361" s="506">
        <v>12000</v>
      </c>
      <c r="J361" s="693" t="s">
        <v>38</v>
      </c>
      <c r="K361" s="456" t="s">
        <v>39</v>
      </c>
      <c r="L361" s="456" t="s">
        <v>40</v>
      </c>
      <c r="M361" s="587" t="s">
        <v>43</v>
      </c>
      <c r="N361" s="506">
        <v>30</v>
      </c>
      <c r="O361" s="571">
        <f t="shared" si="26"/>
        <v>210</v>
      </c>
    </row>
    <row r="362" spans="1:15" ht="18.75">
      <c r="A362" s="1130"/>
      <c r="B362" s="1130"/>
      <c r="C362" s="1130"/>
      <c r="D362" s="552" t="s">
        <v>923</v>
      </c>
      <c r="E362" s="492" t="s">
        <v>707</v>
      </c>
      <c r="F362" s="587">
        <v>2000</v>
      </c>
      <c r="G362" s="587"/>
      <c r="H362" s="587" t="s">
        <v>782</v>
      </c>
      <c r="I362" s="506">
        <v>4000</v>
      </c>
      <c r="J362" s="693" t="s">
        <v>38</v>
      </c>
      <c r="K362" s="456" t="s">
        <v>39</v>
      </c>
      <c r="L362" s="456" t="s">
        <v>40</v>
      </c>
      <c r="M362" s="587" t="s">
        <v>43</v>
      </c>
      <c r="N362" s="506">
        <v>10</v>
      </c>
      <c r="O362" s="571">
        <f t="shared" si="26"/>
        <v>70</v>
      </c>
    </row>
    <row r="363" spans="1:15" ht="18.75">
      <c r="A363" s="1130"/>
      <c r="B363" s="1130"/>
      <c r="C363" s="1130"/>
      <c r="D363" s="807" t="s">
        <v>955</v>
      </c>
      <c r="E363" s="495" t="s">
        <v>956</v>
      </c>
      <c r="F363" s="353">
        <v>1</v>
      </c>
      <c r="G363" s="353"/>
      <c r="H363" s="587" t="s">
        <v>782</v>
      </c>
      <c r="I363" s="506">
        <v>1563000</v>
      </c>
      <c r="J363" s="693" t="s">
        <v>38</v>
      </c>
      <c r="K363" s="456" t="s">
        <v>39</v>
      </c>
      <c r="L363" s="456" t="s">
        <v>40</v>
      </c>
      <c r="M363" s="587" t="s">
        <v>43</v>
      </c>
      <c r="N363" s="506">
        <v>0</v>
      </c>
      <c r="O363" s="571">
        <f t="shared" si="26"/>
        <v>0</v>
      </c>
    </row>
    <row r="364" spans="1:15" ht="18.75">
      <c r="A364" s="1131"/>
      <c r="B364" s="1131"/>
      <c r="C364" s="1131"/>
      <c r="D364" s="552" t="s">
        <v>924</v>
      </c>
      <c r="E364" s="155" t="s">
        <v>812</v>
      </c>
      <c r="F364" s="589">
        <v>1</v>
      </c>
      <c r="G364" s="589"/>
      <c r="H364" s="587" t="s">
        <v>782</v>
      </c>
      <c r="I364" s="704">
        <v>20000</v>
      </c>
      <c r="J364" s="693" t="s">
        <v>38</v>
      </c>
      <c r="K364" s="456" t="s">
        <v>39</v>
      </c>
      <c r="L364" s="456" t="s">
        <v>40</v>
      </c>
      <c r="M364" s="587" t="s">
        <v>43</v>
      </c>
      <c r="N364" s="704">
        <v>0</v>
      </c>
      <c r="O364" s="571">
        <f t="shared" si="26"/>
        <v>0</v>
      </c>
    </row>
    <row r="365" spans="1:15" s="533" customFormat="1" ht="34.5" customHeight="1">
      <c r="A365" s="1076" t="s">
        <v>1063</v>
      </c>
      <c r="B365" s="1077"/>
      <c r="C365" s="1077"/>
      <c r="D365" s="1078"/>
      <c r="E365" s="729"/>
      <c r="F365" s="730"/>
      <c r="G365" s="730"/>
      <c r="H365" s="731"/>
      <c r="I365" s="732">
        <f>SUM(I358:I364)</f>
        <v>1712000</v>
      </c>
      <c r="J365" s="732"/>
      <c r="K365" s="735"/>
      <c r="L365" s="732"/>
      <c r="M365" s="732"/>
      <c r="N365" s="732">
        <f>SUM(N358:N364)</f>
        <v>189.16666666666669</v>
      </c>
      <c r="O365" s="732">
        <f>SUM(O358:O364)</f>
        <v>1324.1666666666667</v>
      </c>
    </row>
    <row r="366" spans="1:15" ht="18.75">
      <c r="A366" s="1126" t="s">
        <v>57</v>
      </c>
      <c r="B366" s="1126" t="s">
        <v>788</v>
      </c>
      <c r="C366" s="1126" t="s">
        <v>816</v>
      </c>
      <c r="D366" s="556" t="s">
        <v>928</v>
      </c>
      <c r="E366" s="155" t="s">
        <v>707</v>
      </c>
      <c r="F366" s="589">
        <v>10000</v>
      </c>
      <c r="G366" s="589"/>
      <c r="H366" s="589" t="s">
        <v>782</v>
      </c>
      <c r="I366" s="704">
        <v>50000</v>
      </c>
      <c r="J366" s="695" t="s">
        <v>38</v>
      </c>
      <c r="K366" s="590" t="s">
        <v>39</v>
      </c>
      <c r="L366" s="590" t="s">
        <v>40</v>
      </c>
      <c r="M366" s="589" t="s">
        <v>43</v>
      </c>
      <c r="N366" s="704">
        <v>125</v>
      </c>
      <c r="O366" s="571">
        <f t="shared" si="26"/>
        <v>875</v>
      </c>
    </row>
    <row r="367" spans="1:15" ht="18.75">
      <c r="A367" s="1127"/>
      <c r="B367" s="1127"/>
      <c r="C367" s="1127"/>
      <c r="D367" s="556" t="s">
        <v>923</v>
      </c>
      <c r="E367" s="155" t="s">
        <v>707</v>
      </c>
      <c r="F367" s="589">
        <v>2000</v>
      </c>
      <c r="G367" s="589"/>
      <c r="H367" s="589" t="s">
        <v>782</v>
      </c>
      <c r="I367" s="704">
        <v>4000</v>
      </c>
      <c r="J367" s="695" t="s">
        <v>38</v>
      </c>
      <c r="K367" s="590" t="s">
        <v>39</v>
      </c>
      <c r="L367" s="590" t="s">
        <v>40</v>
      </c>
      <c r="M367" s="589" t="s">
        <v>43</v>
      </c>
      <c r="N367" s="704">
        <v>10</v>
      </c>
      <c r="O367" s="571">
        <f t="shared" si="26"/>
        <v>70</v>
      </c>
    </row>
    <row r="368" spans="1:15" ht="18.75">
      <c r="A368" s="1127"/>
      <c r="B368" s="1127"/>
      <c r="C368" s="1127"/>
      <c r="D368" s="556" t="s">
        <v>957</v>
      </c>
      <c r="E368" s="155" t="s">
        <v>707</v>
      </c>
      <c r="F368" s="589">
        <v>12000</v>
      </c>
      <c r="G368" s="589"/>
      <c r="H368" s="589" t="s">
        <v>782</v>
      </c>
      <c r="I368" s="704">
        <v>240000</v>
      </c>
      <c r="J368" s="695" t="s">
        <v>38</v>
      </c>
      <c r="K368" s="590" t="s">
        <v>39</v>
      </c>
      <c r="L368" s="590" t="s">
        <v>40</v>
      </c>
      <c r="M368" s="589" t="s">
        <v>43</v>
      </c>
      <c r="N368" s="704">
        <v>600</v>
      </c>
      <c r="O368" s="571">
        <f t="shared" si="26"/>
        <v>4200</v>
      </c>
    </row>
    <row r="369" spans="1:15" ht="18.75">
      <c r="A369" s="1127"/>
      <c r="B369" s="1127"/>
      <c r="C369" s="1127"/>
      <c r="D369" s="556" t="s">
        <v>949</v>
      </c>
      <c r="E369" s="155" t="s">
        <v>841</v>
      </c>
      <c r="F369" s="589">
        <v>300</v>
      </c>
      <c r="G369" s="589"/>
      <c r="H369" s="589" t="s">
        <v>782</v>
      </c>
      <c r="I369" s="704">
        <v>3000</v>
      </c>
      <c r="J369" s="695" t="s">
        <v>38</v>
      </c>
      <c r="K369" s="590" t="s">
        <v>39</v>
      </c>
      <c r="L369" s="590" t="s">
        <v>40</v>
      </c>
      <c r="M369" s="589" t="s">
        <v>43</v>
      </c>
      <c r="N369" s="704">
        <v>7.5</v>
      </c>
      <c r="O369" s="571">
        <f t="shared" si="26"/>
        <v>52.5</v>
      </c>
    </row>
    <row r="370" spans="1:15" ht="18.75">
      <c r="A370" s="1127"/>
      <c r="B370" s="1127"/>
      <c r="C370" s="1127"/>
      <c r="D370" s="556" t="s">
        <v>954</v>
      </c>
      <c r="E370" s="155" t="s">
        <v>920</v>
      </c>
      <c r="F370" s="589">
        <v>15</v>
      </c>
      <c r="G370" s="589"/>
      <c r="H370" s="589" t="s">
        <v>782</v>
      </c>
      <c r="I370" s="704">
        <v>12000</v>
      </c>
      <c r="J370" s="695" t="s">
        <v>38</v>
      </c>
      <c r="K370" s="590" t="s">
        <v>39</v>
      </c>
      <c r="L370" s="590" t="s">
        <v>40</v>
      </c>
      <c r="M370" s="589" t="s">
        <v>43</v>
      </c>
      <c r="N370" s="704">
        <v>30</v>
      </c>
      <c r="O370" s="571">
        <f t="shared" si="26"/>
        <v>210</v>
      </c>
    </row>
    <row r="371" spans="1:15" ht="18.75">
      <c r="A371" s="1127"/>
      <c r="B371" s="1127"/>
      <c r="C371" s="1127"/>
      <c r="D371" s="556" t="s">
        <v>958</v>
      </c>
      <c r="E371" s="155" t="s">
        <v>922</v>
      </c>
      <c r="F371" s="589">
        <v>20000</v>
      </c>
      <c r="G371" s="589"/>
      <c r="H371" s="589" t="s">
        <v>782</v>
      </c>
      <c r="I371" s="704">
        <v>20000</v>
      </c>
      <c r="J371" s="695" t="s">
        <v>38</v>
      </c>
      <c r="K371" s="590" t="s">
        <v>39</v>
      </c>
      <c r="L371" s="590" t="s">
        <v>40</v>
      </c>
      <c r="M371" s="589" t="s">
        <v>43</v>
      </c>
      <c r="N371" s="704">
        <v>50</v>
      </c>
      <c r="O371" s="571">
        <f t="shared" si="26"/>
        <v>350</v>
      </c>
    </row>
    <row r="372" spans="1:15" ht="18.75">
      <c r="A372" s="1128"/>
      <c r="B372" s="1128"/>
      <c r="C372" s="1128"/>
      <c r="D372" s="556" t="s">
        <v>924</v>
      </c>
      <c r="E372" s="155" t="s">
        <v>812</v>
      </c>
      <c r="F372" s="589">
        <v>1</v>
      </c>
      <c r="G372" s="589"/>
      <c r="H372" s="589" t="s">
        <v>782</v>
      </c>
      <c r="I372" s="704">
        <v>30000</v>
      </c>
      <c r="J372" s="695" t="s">
        <v>38</v>
      </c>
      <c r="K372" s="590" t="s">
        <v>39</v>
      </c>
      <c r="L372" s="590" t="s">
        <v>40</v>
      </c>
      <c r="M372" s="589" t="s">
        <v>43</v>
      </c>
      <c r="N372" s="704">
        <v>0</v>
      </c>
      <c r="O372" s="571">
        <f t="shared" si="26"/>
        <v>0</v>
      </c>
    </row>
    <row r="373" spans="1:15" s="533" customFormat="1" ht="34.5" customHeight="1">
      <c r="A373" s="1076" t="s">
        <v>1063</v>
      </c>
      <c r="B373" s="1077"/>
      <c r="C373" s="1077"/>
      <c r="D373" s="1078"/>
      <c r="E373" s="729"/>
      <c r="F373" s="730"/>
      <c r="G373" s="730"/>
      <c r="H373" s="731"/>
      <c r="I373" s="732">
        <f>SUM(I366:I372)</f>
        <v>359000</v>
      </c>
      <c r="J373" s="732"/>
      <c r="K373" s="735"/>
      <c r="L373" s="732"/>
      <c r="M373" s="732"/>
      <c r="N373" s="732">
        <f>SUM(N366:N372)</f>
        <v>822.5</v>
      </c>
      <c r="O373" s="732">
        <f>SUM(O366:O372)</f>
        <v>5757.5</v>
      </c>
    </row>
    <row r="374" spans="1:15" ht="18.75">
      <c r="A374" s="1126" t="s">
        <v>58</v>
      </c>
      <c r="B374" s="1126" t="s">
        <v>23</v>
      </c>
      <c r="C374" s="1126" t="s">
        <v>817</v>
      </c>
      <c r="D374" s="556" t="s">
        <v>959</v>
      </c>
      <c r="E374" s="155" t="s">
        <v>707</v>
      </c>
      <c r="F374" s="591">
        <v>12000</v>
      </c>
      <c r="G374" s="591"/>
      <c r="H374" s="589" t="s">
        <v>782</v>
      </c>
      <c r="I374" s="704">
        <v>60000</v>
      </c>
      <c r="J374" s="695" t="s">
        <v>38</v>
      </c>
      <c r="K374" s="590" t="s">
        <v>39</v>
      </c>
      <c r="L374" s="589" t="s">
        <v>40</v>
      </c>
      <c r="M374" s="589" t="s">
        <v>43</v>
      </c>
      <c r="N374" s="704">
        <v>150</v>
      </c>
      <c r="O374" s="571">
        <f t="shared" si="26"/>
        <v>1050</v>
      </c>
    </row>
    <row r="375" spans="1:15" ht="18.75">
      <c r="A375" s="1127"/>
      <c r="B375" s="1127"/>
      <c r="C375" s="1127"/>
      <c r="D375" s="556" t="s">
        <v>923</v>
      </c>
      <c r="E375" s="155" t="s">
        <v>707</v>
      </c>
      <c r="F375" s="591">
        <v>2000</v>
      </c>
      <c r="G375" s="591"/>
      <c r="H375" s="589" t="s">
        <v>782</v>
      </c>
      <c r="I375" s="704">
        <v>4000</v>
      </c>
      <c r="J375" s="695" t="s">
        <v>38</v>
      </c>
      <c r="K375" s="590" t="s">
        <v>39</v>
      </c>
      <c r="L375" s="589" t="s">
        <v>40</v>
      </c>
      <c r="M375" s="589" t="s">
        <v>43</v>
      </c>
      <c r="N375" s="704">
        <v>10</v>
      </c>
      <c r="O375" s="571">
        <f t="shared" si="26"/>
        <v>70</v>
      </c>
    </row>
    <row r="376" spans="1:15" ht="18.75">
      <c r="A376" s="1127"/>
      <c r="B376" s="1127"/>
      <c r="C376" s="1127"/>
      <c r="D376" s="556" t="s">
        <v>946</v>
      </c>
      <c r="E376" s="155" t="s">
        <v>947</v>
      </c>
      <c r="F376" s="591">
        <v>20000</v>
      </c>
      <c r="G376" s="591"/>
      <c r="H376" s="589" t="s">
        <v>782</v>
      </c>
      <c r="I376" s="704">
        <v>26666.666666666664</v>
      </c>
      <c r="J376" s="695" t="s">
        <v>38</v>
      </c>
      <c r="K376" s="590" t="s">
        <v>39</v>
      </c>
      <c r="L376" s="589" t="s">
        <v>40</v>
      </c>
      <c r="M376" s="589" t="s">
        <v>43</v>
      </c>
      <c r="N376" s="704">
        <v>66.666666666666671</v>
      </c>
      <c r="O376" s="571">
        <f t="shared" si="26"/>
        <v>466.66666666666669</v>
      </c>
    </row>
    <row r="377" spans="1:15" ht="18.75">
      <c r="A377" s="1127"/>
      <c r="B377" s="1127"/>
      <c r="C377" s="1127"/>
      <c r="D377" s="556" t="s">
        <v>944</v>
      </c>
      <c r="E377" s="155" t="s">
        <v>707</v>
      </c>
      <c r="F377" s="591">
        <v>10000</v>
      </c>
      <c r="G377" s="591"/>
      <c r="H377" s="589" t="s">
        <v>782</v>
      </c>
      <c r="I377" s="704">
        <v>200000</v>
      </c>
      <c r="J377" s="695" t="s">
        <v>38</v>
      </c>
      <c r="K377" s="590" t="s">
        <v>39</v>
      </c>
      <c r="L377" s="589" t="s">
        <v>40</v>
      </c>
      <c r="M377" s="589" t="s">
        <v>43</v>
      </c>
      <c r="N377" s="704">
        <v>500</v>
      </c>
      <c r="O377" s="571">
        <f t="shared" si="26"/>
        <v>3500</v>
      </c>
    </row>
    <row r="378" spans="1:15" ht="18.75">
      <c r="A378" s="1127"/>
      <c r="B378" s="1127"/>
      <c r="C378" s="1127"/>
      <c r="D378" s="556" t="s">
        <v>949</v>
      </c>
      <c r="E378" s="155" t="s">
        <v>841</v>
      </c>
      <c r="F378" s="591">
        <v>300</v>
      </c>
      <c r="G378" s="591"/>
      <c r="H378" s="589" t="s">
        <v>782</v>
      </c>
      <c r="I378" s="704">
        <v>3000</v>
      </c>
      <c r="J378" s="695" t="s">
        <v>38</v>
      </c>
      <c r="K378" s="590" t="s">
        <v>39</v>
      </c>
      <c r="L378" s="589" t="s">
        <v>40</v>
      </c>
      <c r="M378" s="589" t="s">
        <v>43</v>
      </c>
      <c r="N378" s="704">
        <v>7.5</v>
      </c>
      <c r="O378" s="571">
        <f t="shared" si="26"/>
        <v>52.5</v>
      </c>
    </row>
    <row r="379" spans="1:15" ht="18.75">
      <c r="A379" s="1127"/>
      <c r="B379" s="1127"/>
      <c r="C379" s="1127"/>
      <c r="D379" s="556" t="s">
        <v>941</v>
      </c>
      <c r="E379" s="155" t="s">
        <v>920</v>
      </c>
      <c r="F379" s="591">
        <v>12</v>
      </c>
      <c r="G379" s="591"/>
      <c r="H379" s="589" t="s">
        <v>782</v>
      </c>
      <c r="I379" s="704">
        <v>9600</v>
      </c>
      <c r="J379" s="695" t="s">
        <v>38</v>
      </c>
      <c r="K379" s="590" t="s">
        <v>39</v>
      </c>
      <c r="L379" s="589" t="s">
        <v>40</v>
      </c>
      <c r="M379" s="589" t="s">
        <v>43</v>
      </c>
      <c r="N379" s="704">
        <v>24</v>
      </c>
      <c r="O379" s="571">
        <f t="shared" si="26"/>
        <v>168</v>
      </c>
    </row>
    <row r="380" spans="1:15" ht="18.75">
      <c r="A380" s="1127"/>
      <c r="B380" s="1127"/>
      <c r="C380" s="1127"/>
      <c r="D380" s="556" t="s">
        <v>958</v>
      </c>
      <c r="E380" s="155" t="s">
        <v>922</v>
      </c>
      <c r="F380" s="591">
        <v>10000</v>
      </c>
      <c r="G380" s="591"/>
      <c r="H380" s="589" t="s">
        <v>782</v>
      </c>
      <c r="I380" s="704">
        <v>20000</v>
      </c>
      <c r="J380" s="695" t="s">
        <v>38</v>
      </c>
      <c r="K380" s="590" t="s">
        <v>39</v>
      </c>
      <c r="L380" s="589" t="s">
        <v>40</v>
      </c>
      <c r="M380" s="589" t="s">
        <v>43</v>
      </c>
      <c r="N380" s="704">
        <v>50</v>
      </c>
      <c r="O380" s="571">
        <f t="shared" si="26"/>
        <v>350</v>
      </c>
    </row>
    <row r="381" spans="1:15" ht="18.75">
      <c r="A381" s="1128"/>
      <c r="B381" s="1128"/>
      <c r="C381" s="1128"/>
      <c r="D381" s="556" t="s">
        <v>924</v>
      </c>
      <c r="E381" s="155" t="s">
        <v>812</v>
      </c>
      <c r="F381" s="89">
        <v>1</v>
      </c>
      <c r="G381" s="89"/>
      <c r="H381" s="589" t="s">
        <v>782</v>
      </c>
      <c r="I381" s="704">
        <v>30000</v>
      </c>
      <c r="J381" s="695" t="s">
        <v>38</v>
      </c>
      <c r="K381" s="590" t="s">
        <v>39</v>
      </c>
      <c r="L381" s="589" t="s">
        <v>40</v>
      </c>
      <c r="M381" s="589" t="s">
        <v>43</v>
      </c>
      <c r="N381" s="704">
        <v>0</v>
      </c>
      <c r="O381" s="571">
        <f t="shared" si="26"/>
        <v>0</v>
      </c>
    </row>
    <row r="382" spans="1:15" s="533" customFormat="1" ht="34.5" customHeight="1">
      <c r="A382" s="1076" t="s">
        <v>1063</v>
      </c>
      <c r="B382" s="1077"/>
      <c r="C382" s="1077"/>
      <c r="D382" s="1078"/>
      <c r="E382" s="729"/>
      <c r="F382" s="730"/>
      <c r="G382" s="730"/>
      <c r="H382" s="731"/>
      <c r="I382" s="732">
        <f>SUM(I374:I381)</f>
        <v>353266.66666666663</v>
      </c>
      <c r="J382" s="732"/>
      <c r="K382" s="735"/>
      <c r="L382" s="732"/>
      <c r="M382" s="732"/>
      <c r="N382" s="732">
        <f>SUM(N374:N381)</f>
        <v>808.16666666666674</v>
      </c>
      <c r="O382" s="732">
        <f>SUM(O374:O381)</f>
        <v>5657.166666666667</v>
      </c>
    </row>
    <row r="383" spans="1:15" ht="18.75">
      <c r="A383" s="1126" t="s">
        <v>71</v>
      </c>
      <c r="B383" s="1126" t="s">
        <v>23</v>
      </c>
      <c r="C383" s="1126" t="s">
        <v>818</v>
      </c>
      <c r="D383" s="556" t="s">
        <v>960</v>
      </c>
      <c r="E383" s="155" t="s">
        <v>707</v>
      </c>
      <c r="F383" s="589">
        <v>10000</v>
      </c>
      <c r="G383" s="589"/>
      <c r="H383" s="589" t="s">
        <v>782</v>
      </c>
      <c r="I383" s="704">
        <v>50000</v>
      </c>
      <c r="J383" s="695" t="s">
        <v>38</v>
      </c>
      <c r="K383" s="590" t="s">
        <v>39</v>
      </c>
      <c r="L383" s="590" t="s">
        <v>40</v>
      </c>
      <c r="M383" s="589" t="s">
        <v>43</v>
      </c>
      <c r="N383" s="704">
        <v>125</v>
      </c>
      <c r="O383" s="571">
        <f t="shared" si="26"/>
        <v>875</v>
      </c>
    </row>
    <row r="384" spans="1:15" ht="18.75">
      <c r="A384" s="1127"/>
      <c r="B384" s="1127"/>
      <c r="C384" s="1127"/>
      <c r="D384" s="556" t="s">
        <v>923</v>
      </c>
      <c r="E384" s="155" t="s">
        <v>707</v>
      </c>
      <c r="F384" s="589">
        <v>2000</v>
      </c>
      <c r="G384" s="589"/>
      <c r="H384" s="589" t="s">
        <v>782</v>
      </c>
      <c r="I384" s="704">
        <v>4000</v>
      </c>
      <c r="J384" s="695" t="s">
        <v>38</v>
      </c>
      <c r="K384" s="590" t="s">
        <v>39</v>
      </c>
      <c r="L384" s="590" t="s">
        <v>40</v>
      </c>
      <c r="M384" s="589" t="s">
        <v>43</v>
      </c>
      <c r="N384" s="704">
        <v>10</v>
      </c>
      <c r="O384" s="571">
        <f t="shared" si="26"/>
        <v>70</v>
      </c>
    </row>
    <row r="385" spans="1:15" ht="18.75">
      <c r="A385" s="1127"/>
      <c r="B385" s="1127"/>
      <c r="C385" s="1127"/>
      <c r="D385" s="556" t="s">
        <v>957</v>
      </c>
      <c r="E385" s="155" t="s">
        <v>707</v>
      </c>
      <c r="F385" s="589">
        <v>10000</v>
      </c>
      <c r="G385" s="589"/>
      <c r="H385" s="589" t="s">
        <v>782</v>
      </c>
      <c r="I385" s="704">
        <v>200000</v>
      </c>
      <c r="J385" s="695" t="s">
        <v>38</v>
      </c>
      <c r="K385" s="590" t="s">
        <v>39</v>
      </c>
      <c r="L385" s="590" t="s">
        <v>40</v>
      </c>
      <c r="M385" s="589" t="s">
        <v>43</v>
      </c>
      <c r="N385" s="704">
        <v>166.66666666666666</v>
      </c>
      <c r="O385" s="571">
        <f t="shared" si="26"/>
        <v>1166.6666666666665</v>
      </c>
    </row>
    <row r="386" spans="1:15" ht="18.75">
      <c r="A386" s="1127"/>
      <c r="B386" s="1127"/>
      <c r="C386" s="1127"/>
      <c r="D386" s="556" t="s">
        <v>949</v>
      </c>
      <c r="E386" s="155" t="s">
        <v>841</v>
      </c>
      <c r="F386" s="589">
        <v>300</v>
      </c>
      <c r="G386" s="589"/>
      <c r="H386" s="589" t="s">
        <v>782</v>
      </c>
      <c r="I386" s="704">
        <v>3000</v>
      </c>
      <c r="J386" s="695" t="s">
        <v>38</v>
      </c>
      <c r="K386" s="590" t="s">
        <v>39</v>
      </c>
      <c r="L386" s="590" t="s">
        <v>40</v>
      </c>
      <c r="M386" s="589" t="s">
        <v>43</v>
      </c>
      <c r="N386" s="704">
        <v>7.5</v>
      </c>
      <c r="O386" s="571">
        <f t="shared" si="26"/>
        <v>52.5</v>
      </c>
    </row>
    <row r="387" spans="1:15" ht="18.75">
      <c r="A387" s="1127"/>
      <c r="B387" s="1127"/>
      <c r="C387" s="1127"/>
      <c r="D387" s="556" t="s">
        <v>919</v>
      </c>
      <c r="E387" s="155" t="s">
        <v>920</v>
      </c>
      <c r="F387" s="589">
        <v>20</v>
      </c>
      <c r="G387" s="589"/>
      <c r="H387" s="589" t="s">
        <v>782</v>
      </c>
      <c r="I387" s="704">
        <v>16000</v>
      </c>
      <c r="J387" s="695" t="s">
        <v>38</v>
      </c>
      <c r="K387" s="590" t="s">
        <v>39</v>
      </c>
      <c r="L387" s="590" t="s">
        <v>40</v>
      </c>
      <c r="M387" s="589" t="s">
        <v>43</v>
      </c>
      <c r="N387" s="704">
        <v>40</v>
      </c>
      <c r="O387" s="571">
        <f t="shared" si="26"/>
        <v>280</v>
      </c>
    </row>
    <row r="388" spans="1:15" ht="18.75">
      <c r="A388" s="1127"/>
      <c r="B388" s="1127"/>
      <c r="C388" s="1127"/>
      <c r="D388" s="556" t="s">
        <v>921</v>
      </c>
      <c r="E388" s="155" t="s">
        <v>922</v>
      </c>
      <c r="F388" s="589">
        <v>10000</v>
      </c>
      <c r="G388" s="589"/>
      <c r="H388" s="589" t="s">
        <v>782</v>
      </c>
      <c r="I388" s="704">
        <v>20000</v>
      </c>
      <c r="J388" s="695" t="s">
        <v>38</v>
      </c>
      <c r="K388" s="590" t="s">
        <v>39</v>
      </c>
      <c r="L388" s="590" t="s">
        <v>40</v>
      </c>
      <c r="M388" s="589" t="s">
        <v>43</v>
      </c>
      <c r="N388" s="704">
        <v>50</v>
      </c>
      <c r="O388" s="571">
        <f t="shared" si="26"/>
        <v>350</v>
      </c>
    </row>
    <row r="389" spans="1:15" ht="18.75">
      <c r="A389" s="1128"/>
      <c r="B389" s="1128"/>
      <c r="C389" s="1128"/>
      <c r="D389" s="556" t="s">
        <v>924</v>
      </c>
      <c r="E389" s="155" t="s">
        <v>812</v>
      </c>
      <c r="F389" s="589">
        <v>1</v>
      </c>
      <c r="G389" s="589"/>
      <c r="H389" s="589" t="s">
        <v>782</v>
      </c>
      <c r="I389" s="704">
        <v>30000</v>
      </c>
      <c r="J389" s="695" t="s">
        <v>38</v>
      </c>
      <c r="K389" s="590" t="s">
        <v>39</v>
      </c>
      <c r="L389" s="590" t="s">
        <v>40</v>
      </c>
      <c r="M389" s="589" t="s">
        <v>43</v>
      </c>
      <c r="N389" s="704">
        <v>0</v>
      </c>
      <c r="O389" s="571">
        <f t="shared" si="26"/>
        <v>0</v>
      </c>
    </row>
    <row r="390" spans="1:15" s="533" customFormat="1" ht="34.5" customHeight="1">
      <c r="A390" s="1076" t="s">
        <v>1063</v>
      </c>
      <c r="B390" s="1077"/>
      <c r="C390" s="1077"/>
      <c r="D390" s="1078"/>
      <c r="E390" s="729"/>
      <c r="F390" s="730"/>
      <c r="G390" s="730"/>
      <c r="H390" s="731"/>
      <c r="I390" s="732">
        <f>SUM(I383:I389)</f>
        <v>323000</v>
      </c>
      <c r="J390" s="732"/>
      <c r="K390" s="735"/>
      <c r="L390" s="732"/>
      <c r="M390" s="732"/>
      <c r="N390" s="732">
        <f>SUM(N383:N389)</f>
        <v>399.16666666666663</v>
      </c>
      <c r="O390" s="732">
        <f>SUM(O383:O389)</f>
        <v>2794.1666666666665</v>
      </c>
    </row>
    <row r="391" spans="1:15" ht="18.75">
      <c r="A391" s="1126" t="s">
        <v>31</v>
      </c>
      <c r="B391" s="1126" t="s">
        <v>788</v>
      </c>
      <c r="C391" s="1126" t="s">
        <v>819</v>
      </c>
      <c r="D391" s="556" t="s">
        <v>961</v>
      </c>
      <c r="E391" s="110" t="s">
        <v>707</v>
      </c>
      <c r="F391" s="589">
        <v>12000</v>
      </c>
      <c r="G391" s="589"/>
      <c r="H391" s="589" t="s">
        <v>782</v>
      </c>
      <c r="I391" s="704">
        <v>60000</v>
      </c>
      <c r="J391" s="695" t="s">
        <v>38</v>
      </c>
      <c r="K391" s="590" t="s">
        <v>39</v>
      </c>
      <c r="L391" s="590" t="s">
        <v>40</v>
      </c>
      <c r="M391" s="589" t="s">
        <v>43</v>
      </c>
      <c r="N391" s="704">
        <v>150</v>
      </c>
      <c r="O391" s="571">
        <f t="shared" si="26"/>
        <v>1050</v>
      </c>
    </row>
    <row r="392" spans="1:15" ht="18.75">
      <c r="A392" s="1127"/>
      <c r="B392" s="1127"/>
      <c r="C392" s="1127"/>
      <c r="D392" s="556" t="s">
        <v>923</v>
      </c>
      <c r="E392" s="110" t="s">
        <v>707</v>
      </c>
      <c r="F392" s="589">
        <v>2000</v>
      </c>
      <c r="G392" s="589"/>
      <c r="H392" s="589" t="s">
        <v>782</v>
      </c>
      <c r="I392" s="704">
        <v>4000</v>
      </c>
      <c r="J392" s="695" t="s">
        <v>38</v>
      </c>
      <c r="K392" s="590" t="s">
        <v>39</v>
      </c>
      <c r="L392" s="590" t="s">
        <v>40</v>
      </c>
      <c r="M392" s="589" t="s">
        <v>43</v>
      </c>
      <c r="N392" s="704">
        <v>10</v>
      </c>
      <c r="O392" s="571">
        <f t="shared" si="26"/>
        <v>70</v>
      </c>
    </row>
    <row r="393" spans="1:15" ht="18.75">
      <c r="A393" s="1127"/>
      <c r="B393" s="1127"/>
      <c r="C393" s="1127"/>
      <c r="D393" s="556" t="s">
        <v>957</v>
      </c>
      <c r="E393" s="110" t="s">
        <v>707</v>
      </c>
      <c r="F393" s="589">
        <v>10000</v>
      </c>
      <c r="G393" s="589"/>
      <c r="H393" s="589" t="s">
        <v>782</v>
      </c>
      <c r="I393" s="704">
        <v>200000</v>
      </c>
      <c r="J393" s="695" t="s">
        <v>38</v>
      </c>
      <c r="K393" s="590" t="s">
        <v>39</v>
      </c>
      <c r="L393" s="590" t="s">
        <v>40</v>
      </c>
      <c r="M393" s="589" t="s">
        <v>43</v>
      </c>
      <c r="N393" s="704">
        <v>166.66666666666666</v>
      </c>
      <c r="O393" s="571">
        <f t="shared" si="26"/>
        <v>1166.6666666666665</v>
      </c>
    </row>
    <row r="394" spans="1:15" ht="18.75">
      <c r="A394" s="1127"/>
      <c r="B394" s="1127"/>
      <c r="C394" s="1127"/>
      <c r="D394" s="556" t="s">
        <v>929</v>
      </c>
      <c r="E394" s="110" t="s">
        <v>841</v>
      </c>
      <c r="F394" s="589">
        <v>250</v>
      </c>
      <c r="G394" s="589"/>
      <c r="H394" s="589" t="s">
        <v>782</v>
      </c>
      <c r="I394" s="704">
        <v>2500</v>
      </c>
      <c r="J394" s="695" t="s">
        <v>38</v>
      </c>
      <c r="K394" s="590" t="s">
        <v>39</v>
      </c>
      <c r="L394" s="590" t="s">
        <v>40</v>
      </c>
      <c r="M394" s="589" t="s">
        <v>43</v>
      </c>
      <c r="N394" s="704">
        <v>6.25</v>
      </c>
      <c r="O394" s="571">
        <f t="shared" si="26"/>
        <v>43.75</v>
      </c>
    </row>
    <row r="395" spans="1:15" ht="18.75">
      <c r="A395" s="1127"/>
      <c r="B395" s="1127"/>
      <c r="C395" s="1127"/>
      <c r="D395" s="556" t="s">
        <v>962</v>
      </c>
      <c r="E395" s="110" t="s">
        <v>920</v>
      </c>
      <c r="F395" s="589">
        <v>15</v>
      </c>
      <c r="G395" s="589"/>
      <c r="H395" s="589" t="s">
        <v>782</v>
      </c>
      <c r="I395" s="704">
        <v>12000</v>
      </c>
      <c r="J395" s="695" t="s">
        <v>38</v>
      </c>
      <c r="K395" s="590" t="s">
        <v>39</v>
      </c>
      <c r="L395" s="590" t="s">
        <v>40</v>
      </c>
      <c r="M395" s="589" t="s">
        <v>43</v>
      </c>
      <c r="N395" s="704">
        <v>30</v>
      </c>
      <c r="O395" s="571">
        <f t="shared" si="26"/>
        <v>210</v>
      </c>
    </row>
    <row r="396" spans="1:15" ht="18.75">
      <c r="A396" s="1127"/>
      <c r="B396" s="1127"/>
      <c r="C396" s="1127"/>
      <c r="D396" s="556" t="s">
        <v>820</v>
      </c>
      <c r="E396" s="155" t="s">
        <v>36</v>
      </c>
      <c r="F396" s="589">
        <v>1</v>
      </c>
      <c r="G396" s="589"/>
      <c r="H396" s="589" t="s">
        <v>782</v>
      </c>
      <c r="I396" s="704">
        <v>700000</v>
      </c>
      <c r="J396" s="695" t="s">
        <v>38</v>
      </c>
      <c r="K396" s="590" t="s">
        <v>39</v>
      </c>
      <c r="L396" s="590" t="s">
        <v>40</v>
      </c>
      <c r="M396" s="589" t="s">
        <v>43</v>
      </c>
      <c r="N396" s="506">
        <f>(15*I396/100/400)</f>
        <v>262.5</v>
      </c>
      <c r="O396" s="571">
        <f t="shared" si="26"/>
        <v>1837.5</v>
      </c>
    </row>
    <row r="397" spans="1:15" ht="18.75">
      <c r="A397" s="1128"/>
      <c r="B397" s="1128"/>
      <c r="C397" s="1128"/>
      <c r="D397" s="556" t="s">
        <v>924</v>
      </c>
      <c r="E397" s="155" t="s">
        <v>812</v>
      </c>
      <c r="F397" s="589">
        <v>1</v>
      </c>
      <c r="G397" s="589"/>
      <c r="H397" s="589" t="s">
        <v>782</v>
      </c>
      <c r="I397" s="704">
        <v>30000</v>
      </c>
      <c r="J397" s="695" t="s">
        <v>38</v>
      </c>
      <c r="K397" s="590" t="s">
        <v>39</v>
      </c>
      <c r="L397" s="590" t="s">
        <v>40</v>
      </c>
      <c r="M397" s="589" t="s">
        <v>43</v>
      </c>
      <c r="N397" s="704">
        <v>0</v>
      </c>
      <c r="O397" s="571">
        <f t="shared" si="26"/>
        <v>0</v>
      </c>
    </row>
    <row r="398" spans="1:15" s="533" customFormat="1" ht="34.5" customHeight="1">
      <c r="A398" s="1076" t="s">
        <v>1063</v>
      </c>
      <c r="B398" s="1077"/>
      <c r="C398" s="1077"/>
      <c r="D398" s="1078"/>
      <c r="E398" s="729"/>
      <c r="F398" s="730"/>
      <c r="G398" s="730"/>
      <c r="H398" s="731"/>
      <c r="I398" s="732">
        <f>SUM(I391:I397)</f>
        <v>1008500</v>
      </c>
      <c r="J398" s="732"/>
      <c r="K398" s="735"/>
      <c r="L398" s="732"/>
      <c r="M398" s="732"/>
      <c r="N398" s="732">
        <f>SUM(N391:N397)</f>
        <v>625.41666666666663</v>
      </c>
      <c r="O398" s="732">
        <f>SUM(O391:O397)</f>
        <v>4377.9166666666661</v>
      </c>
    </row>
    <row r="399" spans="1:15" ht="18.75">
      <c r="A399" s="1126" t="s">
        <v>59</v>
      </c>
      <c r="B399" s="1126" t="s">
        <v>788</v>
      </c>
      <c r="C399" s="1126" t="s">
        <v>821</v>
      </c>
      <c r="D399" s="556" t="s">
        <v>963</v>
      </c>
      <c r="E399" s="155" t="s">
        <v>707</v>
      </c>
      <c r="F399" s="589">
        <v>12000</v>
      </c>
      <c r="G399" s="589"/>
      <c r="H399" s="589" t="s">
        <v>782</v>
      </c>
      <c r="I399" s="704">
        <v>60000</v>
      </c>
      <c r="J399" s="695" t="s">
        <v>38</v>
      </c>
      <c r="K399" s="590" t="s">
        <v>39</v>
      </c>
      <c r="L399" s="590" t="s">
        <v>40</v>
      </c>
      <c r="M399" s="589" t="s">
        <v>43</v>
      </c>
      <c r="N399" s="704">
        <v>150</v>
      </c>
      <c r="O399" s="571">
        <f t="shared" si="26"/>
        <v>1050</v>
      </c>
    </row>
    <row r="400" spans="1:15" ht="18.75">
      <c r="A400" s="1127"/>
      <c r="B400" s="1127"/>
      <c r="C400" s="1127"/>
      <c r="D400" s="556" t="s">
        <v>923</v>
      </c>
      <c r="E400" s="155" t="s">
        <v>707</v>
      </c>
      <c r="F400" s="589">
        <v>2000</v>
      </c>
      <c r="G400" s="589"/>
      <c r="H400" s="589" t="s">
        <v>782</v>
      </c>
      <c r="I400" s="704">
        <v>4000</v>
      </c>
      <c r="J400" s="695" t="s">
        <v>38</v>
      </c>
      <c r="K400" s="590" t="s">
        <v>39</v>
      </c>
      <c r="L400" s="590" t="s">
        <v>40</v>
      </c>
      <c r="M400" s="589" t="s">
        <v>43</v>
      </c>
      <c r="N400" s="704">
        <v>10</v>
      </c>
      <c r="O400" s="571">
        <f t="shared" si="26"/>
        <v>70</v>
      </c>
    </row>
    <row r="401" spans="1:15" ht="18.75">
      <c r="A401" s="1127"/>
      <c r="B401" s="1127"/>
      <c r="C401" s="1127"/>
      <c r="D401" s="556" t="s">
        <v>957</v>
      </c>
      <c r="E401" s="155" t="s">
        <v>707</v>
      </c>
      <c r="F401" s="589">
        <v>10000</v>
      </c>
      <c r="G401" s="589"/>
      <c r="H401" s="589" t="s">
        <v>782</v>
      </c>
      <c r="I401" s="704">
        <v>200000</v>
      </c>
      <c r="J401" s="695" t="s">
        <v>38</v>
      </c>
      <c r="K401" s="590" t="s">
        <v>39</v>
      </c>
      <c r="L401" s="590" t="s">
        <v>40</v>
      </c>
      <c r="M401" s="589" t="s">
        <v>43</v>
      </c>
      <c r="N401" s="704">
        <v>166.66666666666666</v>
      </c>
      <c r="O401" s="571">
        <f t="shared" si="26"/>
        <v>1166.6666666666665</v>
      </c>
    </row>
    <row r="402" spans="1:15" ht="18.75">
      <c r="A402" s="1127"/>
      <c r="B402" s="1127"/>
      <c r="C402" s="1127"/>
      <c r="D402" s="556" t="s">
        <v>964</v>
      </c>
      <c r="E402" s="155" t="s">
        <v>947</v>
      </c>
      <c r="F402" s="589">
        <v>15000</v>
      </c>
      <c r="G402" s="589"/>
      <c r="H402" s="589" t="s">
        <v>782</v>
      </c>
      <c r="I402" s="704">
        <v>20000</v>
      </c>
      <c r="J402" s="695" t="s">
        <v>38</v>
      </c>
      <c r="K402" s="590" t="s">
        <v>39</v>
      </c>
      <c r="L402" s="590" t="s">
        <v>40</v>
      </c>
      <c r="M402" s="589" t="s">
        <v>43</v>
      </c>
      <c r="N402" s="704">
        <v>50</v>
      </c>
      <c r="O402" s="571">
        <f t="shared" si="26"/>
        <v>350</v>
      </c>
    </row>
    <row r="403" spans="1:15" ht="18.75">
      <c r="A403" s="1127"/>
      <c r="B403" s="1127"/>
      <c r="C403" s="1127"/>
      <c r="D403" s="556" t="s">
        <v>949</v>
      </c>
      <c r="E403" s="155" t="s">
        <v>841</v>
      </c>
      <c r="F403" s="589">
        <v>300</v>
      </c>
      <c r="G403" s="589"/>
      <c r="H403" s="589" t="s">
        <v>782</v>
      </c>
      <c r="I403" s="704">
        <v>3000</v>
      </c>
      <c r="J403" s="695" t="s">
        <v>38</v>
      </c>
      <c r="K403" s="590" t="s">
        <v>39</v>
      </c>
      <c r="L403" s="590" t="s">
        <v>40</v>
      </c>
      <c r="M403" s="589" t="s">
        <v>43</v>
      </c>
      <c r="N403" s="704">
        <v>7.5</v>
      </c>
      <c r="O403" s="571">
        <f t="shared" ref="O403:O466" si="27">N403*7</f>
        <v>52.5</v>
      </c>
    </row>
    <row r="404" spans="1:15" ht="18.75">
      <c r="A404" s="1127"/>
      <c r="B404" s="1127"/>
      <c r="C404" s="1127"/>
      <c r="D404" s="556" t="s">
        <v>930</v>
      </c>
      <c r="E404" s="155" t="s">
        <v>920</v>
      </c>
      <c r="F404" s="589">
        <v>10.75</v>
      </c>
      <c r="G404" s="589"/>
      <c r="H404" s="589" t="s">
        <v>782</v>
      </c>
      <c r="I404" s="704">
        <v>8600</v>
      </c>
      <c r="J404" s="695" t="s">
        <v>38</v>
      </c>
      <c r="K404" s="590" t="s">
        <v>39</v>
      </c>
      <c r="L404" s="590" t="s">
        <v>40</v>
      </c>
      <c r="M404" s="589" t="s">
        <v>43</v>
      </c>
      <c r="N404" s="704">
        <v>21.5</v>
      </c>
      <c r="O404" s="571">
        <f t="shared" si="27"/>
        <v>150.5</v>
      </c>
    </row>
    <row r="405" spans="1:15" ht="18.75">
      <c r="A405" s="1127"/>
      <c r="B405" s="1127"/>
      <c r="C405" s="1127"/>
      <c r="D405" s="556" t="s">
        <v>921</v>
      </c>
      <c r="E405" s="155" t="s">
        <v>922</v>
      </c>
      <c r="F405" s="589">
        <v>10000</v>
      </c>
      <c r="G405" s="589"/>
      <c r="H405" s="589" t="s">
        <v>782</v>
      </c>
      <c r="I405" s="704">
        <v>20000</v>
      </c>
      <c r="J405" s="695" t="s">
        <v>38</v>
      </c>
      <c r="K405" s="590" t="s">
        <v>39</v>
      </c>
      <c r="L405" s="590" t="s">
        <v>40</v>
      </c>
      <c r="M405" s="589" t="s">
        <v>43</v>
      </c>
      <c r="N405" s="704">
        <v>50</v>
      </c>
      <c r="O405" s="571">
        <f t="shared" si="27"/>
        <v>350</v>
      </c>
    </row>
    <row r="406" spans="1:15" ht="18.75">
      <c r="A406" s="1127"/>
      <c r="B406" s="1127"/>
      <c r="C406" s="1127"/>
      <c r="D406" s="556" t="s">
        <v>820</v>
      </c>
      <c r="E406" s="155" t="s">
        <v>36</v>
      </c>
      <c r="F406" s="589">
        <v>1</v>
      </c>
      <c r="G406" s="589"/>
      <c r="H406" s="589" t="s">
        <v>782</v>
      </c>
      <c r="I406" s="704">
        <v>700000</v>
      </c>
      <c r="J406" s="695" t="s">
        <v>38</v>
      </c>
      <c r="K406" s="590" t="s">
        <v>39</v>
      </c>
      <c r="L406" s="590" t="s">
        <v>40</v>
      </c>
      <c r="M406" s="589" t="s">
        <v>43</v>
      </c>
      <c r="N406" s="704">
        <f>15*I406/100/400</f>
        <v>262.5</v>
      </c>
      <c r="O406" s="571">
        <f t="shared" si="27"/>
        <v>1837.5</v>
      </c>
    </row>
    <row r="407" spans="1:15" ht="18.75">
      <c r="A407" s="1128"/>
      <c r="B407" s="1128"/>
      <c r="C407" s="1128"/>
      <c r="D407" s="556" t="s">
        <v>924</v>
      </c>
      <c r="E407" s="155" t="s">
        <v>812</v>
      </c>
      <c r="F407" s="589">
        <v>1</v>
      </c>
      <c r="G407" s="589"/>
      <c r="H407" s="589" t="s">
        <v>782</v>
      </c>
      <c r="I407" s="704">
        <v>30000</v>
      </c>
      <c r="J407" s="695" t="s">
        <v>38</v>
      </c>
      <c r="K407" s="590" t="s">
        <v>39</v>
      </c>
      <c r="L407" s="590" t="s">
        <v>40</v>
      </c>
      <c r="M407" s="589" t="s">
        <v>43</v>
      </c>
      <c r="N407" s="704">
        <v>0</v>
      </c>
      <c r="O407" s="571">
        <f t="shared" si="27"/>
        <v>0</v>
      </c>
    </row>
    <row r="408" spans="1:15" s="533" customFormat="1" ht="34.5" customHeight="1">
      <c r="A408" s="1076" t="s">
        <v>1063</v>
      </c>
      <c r="B408" s="1077"/>
      <c r="C408" s="1077"/>
      <c r="D408" s="1078"/>
      <c r="E408" s="729"/>
      <c r="F408" s="730"/>
      <c r="G408" s="730"/>
      <c r="H408" s="731"/>
      <c r="I408" s="732">
        <f>SUM(I399:I407)</f>
        <v>1045600</v>
      </c>
      <c r="J408" s="732"/>
      <c r="K408" s="735"/>
      <c r="L408" s="732"/>
      <c r="M408" s="732"/>
      <c r="N408" s="732">
        <f>SUM(N399:N407)</f>
        <v>718.16666666666663</v>
      </c>
      <c r="O408" s="732">
        <f>SUM(O399:O407)</f>
        <v>5027.1666666666661</v>
      </c>
    </row>
    <row r="409" spans="1:15" ht="18.75">
      <c r="A409" s="1126" t="s">
        <v>72</v>
      </c>
      <c r="B409" s="1126" t="s">
        <v>23</v>
      </c>
      <c r="C409" s="1126" t="s">
        <v>788</v>
      </c>
      <c r="D409" s="556" t="s">
        <v>965</v>
      </c>
      <c r="E409" s="155" t="s">
        <v>707</v>
      </c>
      <c r="F409" s="589">
        <v>10000</v>
      </c>
      <c r="G409" s="589"/>
      <c r="H409" s="589" t="s">
        <v>782</v>
      </c>
      <c r="I409" s="704">
        <v>50000</v>
      </c>
      <c r="J409" s="695" t="s">
        <v>38</v>
      </c>
      <c r="K409" s="590" t="s">
        <v>39</v>
      </c>
      <c r="L409" s="589" t="s">
        <v>40</v>
      </c>
      <c r="M409" s="589" t="s">
        <v>43</v>
      </c>
      <c r="N409" s="704">
        <v>125</v>
      </c>
      <c r="O409" s="571">
        <f t="shared" si="27"/>
        <v>875</v>
      </c>
    </row>
    <row r="410" spans="1:15" ht="18.75">
      <c r="A410" s="1127"/>
      <c r="B410" s="1127"/>
      <c r="C410" s="1127"/>
      <c r="D410" s="556" t="s">
        <v>917</v>
      </c>
      <c r="E410" s="155" t="s">
        <v>707</v>
      </c>
      <c r="F410" s="589">
        <v>6000</v>
      </c>
      <c r="G410" s="589"/>
      <c r="H410" s="589" t="s">
        <v>782</v>
      </c>
      <c r="I410" s="704">
        <v>120000</v>
      </c>
      <c r="J410" s="695" t="s">
        <v>38</v>
      </c>
      <c r="K410" s="590" t="s">
        <v>39</v>
      </c>
      <c r="L410" s="589" t="s">
        <v>40</v>
      </c>
      <c r="M410" s="589" t="s">
        <v>43</v>
      </c>
      <c r="N410" s="704">
        <v>100</v>
      </c>
      <c r="O410" s="571">
        <f t="shared" si="27"/>
        <v>700</v>
      </c>
    </row>
    <row r="411" spans="1:15" ht="18.75">
      <c r="A411" s="1127"/>
      <c r="B411" s="1127"/>
      <c r="C411" s="1127"/>
      <c r="D411" s="556" t="s">
        <v>929</v>
      </c>
      <c r="E411" s="155" t="s">
        <v>841</v>
      </c>
      <c r="F411" s="589">
        <v>250</v>
      </c>
      <c r="G411" s="589"/>
      <c r="H411" s="589" t="s">
        <v>782</v>
      </c>
      <c r="I411" s="704">
        <v>2500</v>
      </c>
      <c r="J411" s="695" t="s">
        <v>38</v>
      </c>
      <c r="K411" s="590" t="s">
        <v>39</v>
      </c>
      <c r="L411" s="589" t="s">
        <v>40</v>
      </c>
      <c r="M411" s="589" t="s">
        <v>43</v>
      </c>
      <c r="N411" s="704">
        <v>6.25</v>
      </c>
      <c r="O411" s="571">
        <f t="shared" si="27"/>
        <v>43.75</v>
      </c>
    </row>
    <row r="412" spans="1:15" ht="18.75">
      <c r="A412" s="1127"/>
      <c r="B412" s="1127"/>
      <c r="C412" s="1127"/>
      <c r="D412" s="556" t="s">
        <v>954</v>
      </c>
      <c r="E412" s="155" t="s">
        <v>920</v>
      </c>
      <c r="F412" s="589">
        <v>15</v>
      </c>
      <c r="G412" s="589"/>
      <c r="H412" s="589" t="s">
        <v>782</v>
      </c>
      <c r="I412" s="704">
        <v>12000</v>
      </c>
      <c r="J412" s="695" t="s">
        <v>38</v>
      </c>
      <c r="K412" s="590" t="s">
        <v>39</v>
      </c>
      <c r="L412" s="589" t="s">
        <v>40</v>
      </c>
      <c r="M412" s="589" t="s">
        <v>43</v>
      </c>
      <c r="N412" s="704">
        <v>30</v>
      </c>
      <c r="O412" s="571">
        <f t="shared" si="27"/>
        <v>210</v>
      </c>
    </row>
    <row r="413" spans="1:15" ht="18.75">
      <c r="A413" s="1127"/>
      <c r="B413" s="1127"/>
      <c r="C413" s="1127"/>
      <c r="D413" s="556" t="s">
        <v>923</v>
      </c>
      <c r="E413" s="155" t="s">
        <v>707</v>
      </c>
      <c r="F413" s="589">
        <v>2000</v>
      </c>
      <c r="G413" s="589"/>
      <c r="H413" s="589" t="s">
        <v>782</v>
      </c>
      <c r="I413" s="704">
        <v>4000</v>
      </c>
      <c r="J413" s="695" t="s">
        <v>38</v>
      </c>
      <c r="K413" s="590" t="s">
        <v>39</v>
      </c>
      <c r="L413" s="589" t="s">
        <v>40</v>
      </c>
      <c r="M413" s="589" t="s">
        <v>43</v>
      </c>
      <c r="N413" s="704">
        <v>10</v>
      </c>
      <c r="O413" s="571">
        <f t="shared" si="27"/>
        <v>70</v>
      </c>
    </row>
    <row r="414" spans="1:15" ht="21">
      <c r="A414" s="1127"/>
      <c r="B414" s="1127"/>
      <c r="C414" s="1127"/>
      <c r="D414" s="555" t="s">
        <v>966</v>
      </c>
      <c r="E414" s="496" t="s">
        <v>967</v>
      </c>
      <c r="F414" s="589">
        <v>1</v>
      </c>
      <c r="G414" s="589"/>
      <c r="H414" s="589" t="s">
        <v>782</v>
      </c>
      <c r="I414" s="704">
        <v>585102</v>
      </c>
      <c r="J414" s="695" t="s">
        <v>38</v>
      </c>
      <c r="K414" s="590" t="s">
        <v>39</v>
      </c>
      <c r="L414" s="589" t="s">
        <v>40</v>
      </c>
      <c r="M414" s="589" t="s">
        <v>43</v>
      </c>
      <c r="N414" s="704">
        <v>0</v>
      </c>
      <c r="O414" s="571">
        <f t="shared" si="27"/>
        <v>0</v>
      </c>
    </row>
    <row r="415" spans="1:15" ht="18.75">
      <c r="A415" s="1128"/>
      <c r="B415" s="1128"/>
      <c r="C415" s="1128"/>
      <c r="D415" s="556" t="s">
        <v>924</v>
      </c>
      <c r="E415" s="155" t="s">
        <v>812</v>
      </c>
      <c r="F415" s="589">
        <v>1</v>
      </c>
      <c r="G415" s="589"/>
      <c r="H415" s="589" t="s">
        <v>782</v>
      </c>
      <c r="I415" s="704">
        <v>30000</v>
      </c>
      <c r="J415" s="695" t="s">
        <v>38</v>
      </c>
      <c r="K415" s="590" t="s">
        <v>39</v>
      </c>
      <c r="L415" s="589" t="s">
        <v>40</v>
      </c>
      <c r="M415" s="589" t="s">
        <v>43</v>
      </c>
      <c r="N415" s="704">
        <v>0</v>
      </c>
      <c r="O415" s="571">
        <f t="shared" si="27"/>
        <v>0</v>
      </c>
    </row>
    <row r="416" spans="1:15" s="533" customFormat="1" ht="34.5" customHeight="1">
      <c r="A416" s="1076" t="s">
        <v>1063</v>
      </c>
      <c r="B416" s="1077"/>
      <c r="C416" s="1077"/>
      <c r="D416" s="1078"/>
      <c r="E416" s="729"/>
      <c r="F416" s="730"/>
      <c r="G416" s="730"/>
      <c r="H416" s="731"/>
      <c r="I416" s="732">
        <f>SUM(I409:I415)</f>
        <v>803602</v>
      </c>
      <c r="J416" s="732"/>
      <c r="K416" s="735"/>
      <c r="L416" s="732"/>
      <c r="M416" s="732"/>
      <c r="N416" s="732">
        <f>SUM(N409:N415)</f>
        <v>271.25</v>
      </c>
      <c r="O416" s="732">
        <f>SUM(O409:O415)</f>
        <v>1898.75</v>
      </c>
    </row>
    <row r="417" spans="1:15" ht="18.75">
      <c r="A417" s="1126" t="s">
        <v>792</v>
      </c>
      <c r="B417" s="1126" t="s">
        <v>968</v>
      </c>
      <c r="C417" s="1126" t="s">
        <v>969</v>
      </c>
      <c r="D417" s="556" t="s">
        <v>961</v>
      </c>
      <c r="E417" s="155" t="s">
        <v>707</v>
      </c>
      <c r="F417" s="589">
        <v>20000</v>
      </c>
      <c r="G417" s="589"/>
      <c r="H417" s="589" t="s">
        <v>782</v>
      </c>
      <c r="I417" s="704">
        <v>100000</v>
      </c>
      <c r="J417" s="695" t="s">
        <v>38</v>
      </c>
      <c r="K417" s="590" t="s">
        <v>39</v>
      </c>
      <c r="L417" s="589" t="s">
        <v>40</v>
      </c>
      <c r="M417" s="589" t="s">
        <v>43</v>
      </c>
      <c r="N417" s="704">
        <v>250</v>
      </c>
      <c r="O417" s="571">
        <f t="shared" si="27"/>
        <v>1750</v>
      </c>
    </row>
    <row r="418" spans="1:15" ht="18.75">
      <c r="A418" s="1127"/>
      <c r="B418" s="1127"/>
      <c r="C418" s="1127"/>
      <c r="D418" s="556" t="s">
        <v>929</v>
      </c>
      <c r="E418" s="155" t="s">
        <v>841</v>
      </c>
      <c r="F418" s="589">
        <v>250</v>
      </c>
      <c r="G418" s="589"/>
      <c r="H418" s="589" t="s">
        <v>782</v>
      </c>
      <c r="I418" s="704">
        <v>2500</v>
      </c>
      <c r="J418" s="695" t="s">
        <v>38</v>
      </c>
      <c r="K418" s="590" t="s">
        <v>39</v>
      </c>
      <c r="L418" s="589" t="s">
        <v>40</v>
      </c>
      <c r="M418" s="589" t="s">
        <v>43</v>
      </c>
      <c r="N418" s="704">
        <v>6.25</v>
      </c>
      <c r="O418" s="571">
        <f t="shared" si="27"/>
        <v>43.75</v>
      </c>
    </row>
    <row r="419" spans="1:15" ht="18.75">
      <c r="A419" s="1127"/>
      <c r="B419" s="1127"/>
      <c r="C419" s="1127"/>
      <c r="D419" s="556" t="s">
        <v>970</v>
      </c>
      <c r="E419" s="155" t="s">
        <v>920</v>
      </c>
      <c r="F419" s="589">
        <v>10</v>
      </c>
      <c r="G419" s="589"/>
      <c r="H419" s="589" t="s">
        <v>782</v>
      </c>
      <c r="I419" s="704">
        <v>8000</v>
      </c>
      <c r="J419" s="695" t="s">
        <v>38</v>
      </c>
      <c r="K419" s="590" t="s">
        <v>39</v>
      </c>
      <c r="L419" s="589" t="s">
        <v>40</v>
      </c>
      <c r="M419" s="589" t="s">
        <v>43</v>
      </c>
      <c r="N419" s="704">
        <v>20</v>
      </c>
      <c r="O419" s="571">
        <f t="shared" si="27"/>
        <v>140</v>
      </c>
    </row>
    <row r="420" spans="1:15" ht="18.75">
      <c r="A420" s="1127"/>
      <c r="B420" s="1127"/>
      <c r="C420" s="1127"/>
      <c r="D420" s="556" t="s">
        <v>923</v>
      </c>
      <c r="E420" s="155" t="s">
        <v>707</v>
      </c>
      <c r="F420" s="589">
        <v>2000</v>
      </c>
      <c r="G420" s="589"/>
      <c r="H420" s="589" t="s">
        <v>782</v>
      </c>
      <c r="I420" s="704">
        <v>4000</v>
      </c>
      <c r="J420" s="695" t="s">
        <v>38</v>
      </c>
      <c r="K420" s="590" t="s">
        <v>39</v>
      </c>
      <c r="L420" s="589" t="s">
        <v>40</v>
      </c>
      <c r="M420" s="589" t="s">
        <v>43</v>
      </c>
      <c r="N420" s="704">
        <v>10</v>
      </c>
      <c r="O420" s="571">
        <f t="shared" si="27"/>
        <v>70</v>
      </c>
    </row>
    <row r="421" spans="1:15" ht="18.75">
      <c r="A421" s="1127"/>
      <c r="B421" s="1127"/>
      <c r="C421" s="1127"/>
      <c r="D421" s="556" t="s">
        <v>971</v>
      </c>
      <c r="E421" s="155" t="s">
        <v>36</v>
      </c>
      <c r="F421" s="589">
        <v>1</v>
      </c>
      <c r="G421" s="589"/>
      <c r="H421" s="589" t="s">
        <v>782</v>
      </c>
      <c r="I421" s="704">
        <v>500000</v>
      </c>
      <c r="J421" s="695" t="s">
        <v>38</v>
      </c>
      <c r="K421" s="590" t="s">
        <v>39</v>
      </c>
      <c r="L421" s="589" t="s">
        <v>40</v>
      </c>
      <c r="M421" s="589" t="s">
        <v>43</v>
      </c>
      <c r="N421" s="704">
        <f>(15*I421/100/400)</f>
        <v>187.5</v>
      </c>
      <c r="O421" s="571">
        <f t="shared" si="27"/>
        <v>1312.5</v>
      </c>
    </row>
    <row r="422" spans="1:15" ht="18.75">
      <c r="A422" s="1128"/>
      <c r="B422" s="1128"/>
      <c r="C422" s="1128"/>
      <c r="D422" s="556" t="s">
        <v>924</v>
      </c>
      <c r="E422" s="155" t="s">
        <v>812</v>
      </c>
      <c r="F422" s="589">
        <v>1</v>
      </c>
      <c r="G422" s="589"/>
      <c r="H422" s="589" t="s">
        <v>782</v>
      </c>
      <c r="I422" s="704">
        <v>20000</v>
      </c>
      <c r="J422" s="695" t="s">
        <v>38</v>
      </c>
      <c r="K422" s="590" t="s">
        <v>39</v>
      </c>
      <c r="L422" s="589" t="s">
        <v>40</v>
      </c>
      <c r="M422" s="589" t="s">
        <v>43</v>
      </c>
      <c r="N422" s="704">
        <v>0</v>
      </c>
      <c r="O422" s="571">
        <f t="shared" si="27"/>
        <v>0</v>
      </c>
    </row>
    <row r="423" spans="1:15" s="533" customFormat="1" ht="34.5" customHeight="1">
      <c r="A423" s="1076" t="s">
        <v>1063</v>
      </c>
      <c r="B423" s="1077"/>
      <c r="C423" s="1077"/>
      <c r="D423" s="1078"/>
      <c r="E423" s="729"/>
      <c r="F423" s="730"/>
      <c r="G423" s="730"/>
      <c r="H423" s="731"/>
      <c r="I423" s="732">
        <f>SUM(I417:I422)</f>
        <v>634500</v>
      </c>
      <c r="J423" s="732"/>
      <c r="K423" s="735"/>
      <c r="L423" s="732"/>
      <c r="M423" s="732"/>
      <c r="N423" s="732">
        <f>SUM(N417:N422)</f>
        <v>473.75</v>
      </c>
      <c r="O423" s="732">
        <f>SUM(O417:O422)</f>
        <v>3316.25</v>
      </c>
    </row>
    <row r="424" spans="1:15" ht="18.75">
      <c r="A424" s="1126" t="s">
        <v>74</v>
      </c>
      <c r="B424" s="1126" t="s">
        <v>972</v>
      </c>
      <c r="C424" s="1126" t="s">
        <v>972</v>
      </c>
      <c r="D424" s="556" t="s">
        <v>973</v>
      </c>
      <c r="E424" s="155" t="s">
        <v>707</v>
      </c>
      <c r="F424" s="589">
        <v>30000</v>
      </c>
      <c r="G424" s="589"/>
      <c r="H424" s="589" t="s">
        <v>782</v>
      </c>
      <c r="I424" s="704">
        <v>150000</v>
      </c>
      <c r="J424" s="695" t="s">
        <v>38</v>
      </c>
      <c r="K424" s="590" t="s">
        <v>38</v>
      </c>
      <c r="L424" s="589" t="s">
        <v>38</v>
      </c>
      <c r="M424" s="589" t="s">
        <v>38</v>
      </c>
      <c r="N424" s="704">
        <v>375</v>
      </c>
      <c r="O424" s="571">
        <f t="shared" si="27"/>
        <v>2625</v>
      </c>
    </row>
    <row r="425" spans="1:15" ht="18.75">
      <c r="A425" s="1127"/>
      <c r="B425" s="1127"/>
      <c r="C425" s="1127"/>
      <c r="D425" s="556" t="s">
        <v>937</v>
      </c>
      <c r="E425" s="155" t="s">
        <v>707</v>
      </c>
      <c r="F425" s="589">
        <v>4000</v>
      </c>
      <c r="G425" s="589"/>
      <c r="H425" s="589" t="s">
        <v>782</v>
      </c>
      <c r="I425" s="704">
        <v>8000</v>
      </c>
      <c r="J425" s="695" t="s">
        <v>38</v>
      </c>
      <c r="K425" s="590" t="s">
        <v>38</v>
      </c>
      <c r="L425" s="589" t="s">
        <v>38</v>
      </c>
      <c r="M425" s="589" t="s">
        <v>38</v>
      </c>
      <c r="N425" s="704">
        <v>20</v>
      </c>
      <c r="O425" s="571">
        <f t="shared" si="27"/>
        <v>140</v>
      </c>
    </row>
    <row r="426" spans="1:15" ht="18.75">
      <c r="A426" s="1127"/>
      <c r="B426" s="1127"/>
      <c r="C426" s="1127"/>
      <c r="D426" s="556" t="s">
        <v>974</v>
      </c>
      <c r="E426" s="155" t="s">
        <v>947</v>
      </c>
      <c r="F426" s="589">
        <v>40000</v>
      </c>
      <c r="G426" s="589"/>
      <c r="H426" s="589" t="s">
        <v>782</v>
      </c>
      <c r="I426" s="704">
        <v>53333.333333333328</v>
      </c>
      <c r="J426" s="695" t="s">
        <v>38</v>
      </c>
      <c r="K426" s="590" t="s">
        <v>38</v>
      </c>
      <c r="L426" s="589" t="s">
        <v>38</v>
      </c>
      <c r="M426" s="589" t="s">
        <v>38</v>
      </c>
      <c r="N426" s="704">
        <v>133.33333333333334</v>
      </c>
      <c r="O426" s="571">
        <f t="shared" si="27"/>
        <v>933.33333333333337</v>
      </c>
    </row>
    <row r="427" spans="1:15" ht="18.75">
      <c r="A427" s="1127"/>
      <c r="B427" s="1127"/>
      <c r="C427" s="1127"/>
      <c r="D427" s="556" t="s">
        <v>948</v>
      </c>
      <c r="E427" s="155" t="s">
        <v>707</v>
      </c>
      <c r="F427" s="589">
        <v>14000</v>
      </c>
      <c r="G427" s="589"/>
      <c r="H427" s="589" t="s">
        <v>782</v>
      </c>
      <c r="I427" s="704">
        <v>280000</v>
      </c>
      <c r="J427" s="695" t="s">
        <v>38</v>
      </c>
      <c r="K427" s="590" t="s">
        <v>38</v>
      </c>
      <c r="L427" s="589" t="s">
        <v>38</v>
      </c>
      <c r="M427" s="589" t="s">
        <v>38</v>
      </c>
      <c r="N427" s="704">
        <v>700</v>
      </c>
      <c r="O427" s="571">
        <f t="shared" si="27"/>
        <v>4900</v>
      </c>
    </row>
    <row r="428" spans="1:15" ht="18.75">
      <c r="A428" s="1127"/>
      <c r="B428" s="1127"/>
      <c r="C428" s="1127"/>
      <c r="D428" s="556" t="s">
        <v>949</v>
      </c>
      <c r="E428" s="155" t="s">
        <v>841</v>
      </c>
      <c r="F428" s="589">
        <v>300</v>
      </c>
      <c r="G428" s="589"/>
      <c r="H428" s="589" t="s">
        <v>782</v>
      </c>
      <c r="I428" s="704">
        <v>3000</v>
      </c>
      <c r="J428" s="695" t="s">
        <v>38</v>
      </c>
      <c r="K428" s="590" t="s">
        <v>38</v>
      </c>
      <c r="L428" s="589" t="s">
        <v>38</v>
      </c>
      <c r="M428" s="589" t="s">
        <v>38</v>
      </c>
      <c r="N428" s="704">
        <v>7.5</v>
      </c>
      <c r="O428" s="571">
        <f t="shared" si="27"/>
        <v>52.5</v>
      </c>
    </row>
    <row r="429" spans="1:15" ht="18.75">
      <c r="A429" s="1127"/>
      <c r="B429" s="1127"/>
      <c r="C429" s="1127"/>
      <c r="D429" s="556" t="s">
        <v>919</v>
      </c>
      <c r="E429" s="155" t="s">
        <v>920</v>
      </c>
      <c r="F429" s="589">
        <v>20</v>
      </c>
      <c r="G429" s="589"/>
      <c r="H429" s="589" t="s">
        <v>782</v>
      </c>
      <c r="I429" s="704">
        <v>16000</v>
      </c>
      <c r="J429" s="695" t="s">
        <v>38</v>
      </c>
      <c r="K429" s="590" t="s">
        <v>38</v>
      </c>
      <c r="L429" s="589" t="s">
        <v>38</v>
      </c>
      <c r="M429" s="589" t="s">
        <v>38</v>
      </c>
      <c r="N429" s="704">
        <v>40</v>
      </c>
      <c r="O429" s="571">
        <f t="shared" si="27"/>
        <v>280</v>
      </c>
    </row>
    <row r="430" spans="1:15" ht="18.75">
      <c r="A430" s="1127"/>
      <c r="B430" s="1127"/>
      <c r="C430" s="1127"/>
      <c r="D430" s="556" t="s">
        <v>950</v>
      </c>
      <c r="E430" s="155" t="s">
        <v>922</v>
      </c>
      <c r="F430" s="589">
        <v>15000</v>
      </c>
      <c r="G430" s="589"/>
      <c r="H430" s="589" t="s">
        <v>782</v>
      </c>
      <c r="I430" s="704">
        <v>30000</v>
      </c>
      <c r="J430" s="695" t="s">
        <v>38</v>
      </c>
      <c r="K430" s="590" t="s">
        <v>38</v>
      </c>
      <c r="L430" s="589" t="s">
        <v>38</v>
      </c>
      <c r="M430" s="589" t="s">
        <v>38</v>
      </c>
      <c r="N430" s="704">
        <v>75</v>
      </c>
      <c r="O430" s="571">
        <f t="shared" si="27"/>
        <v>525</v>
      </c>
    </row>
    <row r="431" spans="1:15" ht="18.75">
      <c r="A431" s="1127"/>
      <c r="B431" s="1127"/>
      <c r="C431" s="1127"/>
      <c r="D431" s="556" t="s">
        <v>975</v>
      </c>
      <c r="E431" s="155" t="s">
        <v>36</v>
      </c>
      <c r="F431" s="589">
        <v>10000</v>
      </c>
      <c r="G431" s="589"/>
      <c r="H431" s="589" t="s">
        <v>782</v>
      </c>
      <c r="I431" s="704">
        <v>133333.33333333334</v>
      </c>
      <c r="J431" s="695" t="s">
        <v>38</v>
      </c>
      <c r="K431" s="590" t="s">
        <v>38</v>
      </c>
      <c r="L431" s="589" t="s">
        <v>38</v>
      </c>
      <c r="M431" s="589" t="s">
        <v>38</v>
      </c>
      <c r="N431" s="704">
        <v>333.33333333333331</v>
      </c>
      <c r="O431" s="571">
        <f t="shared" si="27"/>
        <v>2333.333333333333</v>
      </c>
    </row>
    <row r="432" spans="1:15" ht="18.75">
      <c r="A432" s="1127"/>
      <c r="B432" s="1127"/>
      <c r="C432" s="1127"/>
      <c r="D432" s="556" t="s">
        <v>976</v>
      </c>
      <c r="E432" s="155" t="s">
        <v>922</v>
      </c>
      <c r="F432" s="589">
        <v>10000</v>
      </c>
      <c r="G432" s="589"/>
      <c r="H432" s="589" t="s">
        <v>782</v>
      </c>
      <c r="I432" s="704">
        <v>66666.666666666672</v>
      </c>
      <c r="J432" s="695" t="s">
        <v>38</v>
      </c>
      <c r="K432" s="590" t="s">
        <v>38</v>
      </c>
      <c r="L432" s="589" t="s">
        <v>38</v>
      </c>
      <c r="M432" s="589" t="s">
        <v>38</v>
      </c>
      <c r="N432" s="704">
        <v>166.66666666666666</v>
      </c>
      <c r="O432" s="571">
        <f t="shared" si="27"/>
        <v>1166.6666666666665</v>
      </c>
    </row>
    <row r="433" spans="1:15" ht="18.75">
      <c r="A433" s="1127"/>
      <c r="B433" s="1127"/>
      <c r="C433" s="1127"/>
      <c r="D433" s="556" t="s">
        <v>977</v>
      </c>
      <c r="E433" s="155" t="s">
        <v>922</v>
      </c>
      <c r="F433" s="589">
        <v>10000</v>
      </c>
      <c r="G433" s="589"/>
      <c r="H433" s="589" t="s">
        <v>782</v>
      </c>
      <c r="I433" s="704">
        <v>66666.666666666672</v>
      </c>
      <c r="J433" s="695" t="s">
        <v>38</v>
      </c>
      <c r="K433" s="590" t="s">
        <v>38</v>
      </c>
      <c r="L433" s="589" t="s">
        <v>38</v>
      </c>
      <c r="M433" s="589" t="s">
        <v>38</v>
      </c>
      <c r="N433" s="704">
        <v>166.66666666666666</v>
      </c>
      <c r="O433" s="571">
        <f t="shared" si="27"/>
        <v>1166.6666666666665</v>
      </c>
    </row>
    <row r="434" spans="1:15" ht="36">
      <c r="A434" s="1127"/>
      <c r="B434" s="1127"/>
      <c r="C434" s="1127"/>
      <c r="D434" s="557" t="s">
        <v>978</v>
      </c>
      <c r="E434" s="155" t="s">
        <v>812</v>
      </c>
      <c r="F434" s="589">
        <v>1</v>
      </c>
      <c r="G434" s="589"/>
      <c r="H434" s="589" t="s">
        <v>782</v>
      </c>
      <c r="I434" s="704">
        <v>14000</v>
      </c>
      <c r="J434" s="695" t="s">
        <v>38</v>
      </c>
      <c r="K434" s="590" t="s">
        <v>38</v>
      </c>
      <c r="L434" s="589" t="s">
        <v>38</v>
      </c>
      <c r="M434" s="589" t="s">
        <v>38</v>
      </c>
      <c r="N434" s="704">
        <v>35</v>
      </c>
      <c r="O434" s="571">
        <f t="shared" si="27"/>
        <v>245</v>
      </c>
    </row>
    <row r="435" spans="1:15" ht="18.75">
      <c r="A435" s="1127"/>
      <c r="B435" s="1127"/>
      <c r="C435" s="1127"/>
      <c r="D435" s="556" t="s">
        <v>979</v>
      </c>
      <c r="E435" s="155" t="s">
        <v>28</v>
      </c>
      <c r="F435" s="589">
        <v>1</v>
      </c>
      <c r="G435" s="589"/>
      <c r="H435" s="589" t="s">
        <v>782</v>
      </c>
      <c r="I435" s="704">
        <v>18000</v>
      </c>
      <c r="J435" s="695" t="s">
        <v>38</v>
      </c>
      <c r="K435" s="590" t="s">
        <v>38</v>
      </c>
      <c r="L435" s="589" t="s">
        <v>38</v>
      </c>
      <c r="M435" s="589" t="s">
        <v>38</v>
      </c>
      <c r="N435" s="704">
        <v>0</v>
      </c>
      <c r="O435" s="571">
        <f t="shared" si="27"/>
        <v>0</v>
      </c>
    </row>
    <row r="436" spans="1:15" ht="18.75">
      <c r="A436" s="1127"/>
      <c r="B436" s="1127"/>
      <c r="C436" s="1127"/>
      <c r="D436" s="556" t="s">
        <v>980</v>
      </c>
      <c r="E436" s="155" t="s">
        <v>812</v>
      </c>
      <c r="F436" s="589">
        <v>35</v>
      </c>
      <c r="G436" s="589"/>
      <c r="H436" s="589" t="s">
        <v>782</v>
      </c>
      <c r="I436" s="704">
        <v>17500</v>
      </c>
      <c r="J436" s="695" t="s">
        <v>38</v>
      </c>
      <c r="K436" s="590" t="s">
        <v>38</v>
      </c>
      <c r="L436" s="589" t="s">
        <v>38</v>
      </c>
      <c r="M436" s="589" t="s">
        <v>38</v>
      </c>
      <c r="N436" s="704">
        <v>35</v>
      </c>
      <c r="O436" s="571">
        <f t="shared" si="27"/>
        <v>245</v>
      </c>
    </row>
    <row r="437" spans="1:15" ht="18.75">
      <c r="A437" s="1127"/>
      <c r="B437" s="1127"/>
      <c r="C437" s="1127"/>
      <c r="D437" s="807" t="s">
        <v>981</v>
      </c>
      <c r="E437" s="495" t="s">
        <v>922</v>
      </c>
      <c r="F437" s="589">
        <v>10000</v>
      </c>
      <c r="G437" s="589"/>
      <c r="H437" s="589" t="s">
        <v>782</v>
      </c>
      <c r="I437" s="704">
        <v>800000</v>
      </c>
      <c r="J437" s="695" t="s">
        <v>38</v>
      </c>
      <c r="K437" s="590" t="s">
        <v>38</v>
      </c>
      <c r="L437" s="589" t="s">
        <v>38</v>
      </c>
      <c r="M437" s="589" t="s">
        <v>38</v>
      </c>
      <c r="N437" s="704"/>
      <c r="O437" s="571">
        <f t="shared" si="27"/>
        <v>0</v>
      </c>
    </row>
    <row r="438" spans="1:15" ht="36">
      <c r="A438" s="1128"/>
      <c r="B438" s="1128"/>
      <c r="C438" s="1128"/>
      <c r="D438" s="626" t="s">
        <v>982</v>
      </c>
      <c r="E438" s="495" t="s">
        <v>812</v>
      </c>
      <c r="F438" s="589">
        <v>1</v>
      </c>
      <c r="G438" s="589"/>
      <c r="H438" s="589" t="s">
        <v>782</v>
      </c>
      <c r="I438" s="704">
        <v>101500</v>
      </c>
      <c r="J438" s="695" t="s">
        <v>38</v>
      </c>
      <c r="K438" s="590" t="s">
        <v>38</v>
      </c>
      <c r="L438" s="589" t="s">
        <v>38</v>
      </c>
      <c r="M438" s="589" t="s">
        <v>38</v>
      </c>
      <c r="N438" s="704"/>
      <c r="O438" s="571">
        <f t="shared" si="27"/>
        <v>0</v>
      </c>
    </row>
    <row r="439" spans="1:15" s="533" customFormat="1" ht="34.5" customHeight="1">
      <c r="A439" s="1076" t="s">
        <v>1063</v>
      </c>
      <c r="B439" s="1077"/>
      <c r="C439" s="1077"/>
      <c r="D439" s="1078"/>
      <c r="E439" s="729"/>
      <c r="F439" s="730"/>
      <c r="G439" s="730"/>
      <c r="H439" s="731"/>
      <c r="I439" s="732">
        <f>SUM(I424:I438)</f>
        <v>1758000</v>
      </c>
      <c r="J439" s="732"/>
      <c r="K439" s="735"/>
      <c r="L439" s="732"/>
      <c r="M439" s="732"/>
      <c r="N439" s="732">
        <f>SUM(N424:N438)</f>
        <v>2087.5</v>
      </c>
      <c r="O439" s="732">
        <f>SUM(O424:O438)</f>
        <v>14612.5</v>
      </c>
    </row>
    <row r="440" spans="1:15" ht="15" customHeight="1">
      <c r="A440" s="1129" t="s">
        <v>983</v>
      </c>
      <c r="B440" s="1129" t="s">
        <v>23</v>
      </c>
      <c r="C440" s="1129" t="s">
        <v>984</v>
      </c>
      <c r="D440" s="556" t="s">
        <v>940</v>
      </c>
      <c r="E440" s="155" t="s">
        <v>707</v>
      </c>
      <c r="F440" s="589">
        <v>8000</v>
      </c>
      <c r="G440" s="589"/>
      <c r="H440" s="589" t="s">
        <v>782</v>
      </c>
      <c r="I440" s="704">
        <v>40000</v>
      </c>
      <c r="J440" s="695" t="s">
        <v>38</v>
      </c>
      <c r="K440" s="590" t="s">
        <v>39</v>
      </c>
      <c r="L440" s="590" t="s">
        <v>40</v>
      </c>
      <c r="M440" s="589" t="s">
        <v>43</v>
      </c>
      <c r="N440" s="704">
        <v>100</v>
      </c>
      <c r="O440" s="571">
        <f t="shared" si="27"/>
        <v>700</v>
      </c>
    </row>
    <row r="441" spans="1:15" ht="15" customHeight="1">
      <c r="A441" s="1130"/>
      <c r="B441" s="1130"/>
      <c r="C441" s="1130"/>
      <c r="D441" s="556" t="s">
        <v>917</v>
      </c>
      <c r="E441" s="155" t="s">
        <v>707</v>
      </c>
      <c r="F441" s="589">
        <v>6000</v>
      </c>
      <c r="G441" s="589"/>
      <c r="H441" s="589" t="s">
        <v>782</v>
      </c>
      <c r="I441" s="704">
        <v>120000</v>
      </c>
      <c r="J441" s="695" t="s">
        <v>38</v>
      </c>
      <c r="K441" s="590" t="s">
        <v>39</v>
      </c>
      <c r="L441" s="590" t="s">
        <v>40</v>
      </c>
      <c r="M441" s="589" t="s">
        <v>43</v>
      </c>
      <c r="N441" s="704">
        <v>100</v>
      </c>
      <c r="O441" s="571">
        <f t="shared" si="27"/>
        <v>700</v>
      </c>
    </row>
    <row r="442" spans="1:15" ht="15" customHeight="1">
      <c r="A442" s="1130"/>
      <c r="B442" s="1130"/>
      <c r="C442" s="1130"/>
      <c r="D442" s="556" t="s">
        <v>929</v>
      </c>
      <c r="E442" s="155" t="s">
        <v>841</v>
      </c>
      <c r="F442" s="589">
        <v>250</v>
      </c>
      <c r="G442" s="589"/>
      <c r="H442" s="589" t="s">
        <v>782</v>
      </c>
      <c r="I442" s="704">
        <v>2500</v>
      </c>
      <c r="J442" s="695" t="s">
        <v>38</v>
      </c>
      <c r="K442" s="590" t="s">
        <v>39</v>
      </c>
      <c r="L442" s="590" t="s">
        <v>40</v>
      </c>
      <c r="M442" s="589" t="s">
        <v>43</v>
      </c>
      <c r="N442" s="704">
        <v>6.25</v>
      </c>
      <c r="O442" s="571">
        <f t="shared" si="27"/>
        <v>43.75</v>
      </c>
    </row>
    <row r="443" spans="1:15" ht="15" customHeight="1">
      <c r="A443" s="1130"/>
      <c r="B443" s="1130"/>
      <c r="C443" s="1130"/>
      <c r="D443" s="556" t="s">
        <v>970</v>
      </c>
      <c r="E443" s="155" t="s">
        <v>920</v>
      </c>
      <c r="F443" s="589">
        <v>10</v>
      </c>
      <c r="G443" s="589"/>
      <c r="H443" s="589" t="s">
        <v>782</v>
      </c>
      <c r="I443" s="704">
        <v>8000</v>
      </c>
      <c r="J443" s="695" t="s">
        <v>38</v>
      </c>
      <c r="K443" s="590" t="s">
        <v>39</v>
      </c>
      <c r="L443" s="590" t="s">
        <v>40</v>
      </c>
      <c r="M443" s="589" t="s">
        <v>43</v>
      </c>
      <c r="N443" s="704">
        <v>20</v>
      </c>
      <c r="O443" s="571">
        <f t="shared" si="27"/>
        <v>140</v>
      </c>
    </row>
    <row r="444" spans="1:15" ht="15" customHeight="1">
      <c r="A444" s="1130"/>
      <c r="B444" s="1130"/>
      <c r="C444" s="1130"/>
      <c r="D444" s="556" t="s">
        <v>921</v>
      </c>
      <c r="E444" s="155" t="s">
        <v>922</v>
      </c>
      <c r="F444" s="589">
        <v>10000</v>
      </c>
      <c r="G444" s="589"/>
      <c r="H444" s="589" t="s">
        <v>782</v>
      </c>
      <c r="I444" s="704">
        <v>20000</v>
      </c>
      <c r="J444" s="695" t="s">
        <v>38</v>
      </c>
      <c r="K444" s="590" t="s">
        <v>39</v>
      </c>
      <c r="L444" s="590" t="s">
        <v>40</v>
      </c>
      <c r="M444" s="589" t="s">
        <v>43</v>
      </c>
      <c r="N444" s="704">
        <v>50</v>
      </c>
      <c r="O444" s="571">
        <f t="shared" si="27"/>
        <v>350</v>
      </c>
    </row>
    <row r="445" spans="1:15" ht="15" customHeight="1">
      <c r="A445" s="1130"/>
      <c r="B445" s="1130"/>
      <c r="C445" s="1130"/>
      <c r="D445" s="556" t="s">
        <v>985</v>
      </c>
      <c r="E445" s="155" t="s">
        <v>707</v>
      </c>
      <c r="F445" s="589">
        <v>2000</v>
      </c>
      <c r="G445" s="589"/>
      <c r="H445" s="589" t="s">
        <v>782</v>
      </c>
      <c r="I445" s="704">
        <v>4000</v>
      </c>
      <c r="J445" s="695" t="s">
        <v>38</v>
      </c>
      <c r="K445" s="590" t="s">
        <v>39</v>
      </c>
      <c r="L445" s="590" t="s">
        <v>40</v>
      </c>
      <c r="M445" s="589" t="s">
        <v>43</v>
      </c>
      <c r="N445" s="704">
        <v>10</v>
      </c>
      <c r="O445" s="571">
        <f t="shared" si="27"/>
        <v>70</v>
      </c>
    </row>
    <row r="446" spans="1:15" ht="15" customHeight="1">
      <c r="A446" s="1131"/>
      <c r="B446" s="1131"/>
      <c r="C446" s="1131"/>
      <c r="D446" s="556" t="s">
        <v>924</v>
      </c>
      <c r="E446" s="155" t="s">
        <v>812</v>
      </c>
      <c r="F446" s="589">
        <v>1</v>
      </c>
      <c r="G446" s="589"/>
      <c r="H446" s="589" t="s">
        <v>782</v>
      </c>
      <c r="I446" s="704">
        <v>20000</v>
      </c>
      <c r="J446" s="695" t="s">
        <v>38</v>
      </c>
      <c r="K446" s="590" t="s">
        <v>39</v>
      </c>
      <c r="L446" s="590" t="s">
        <v>40</v>
      </c>
      <c r="M446" s="589" t="s">
        <v>43</v>
      </c>
      <c r="N446" s="704">
        <v>0</v>
      </c>
      <c r="O446" s="571">
        <f t="shared" si="27"/>
        <v>0</v>
      </c>
    </row>
    <row r="447" spans="1:15" s="533" customFormat="1" ht="34.5" customHeight="1">
      <c r="A447" s="1076" t="s">
        <v>1063</v>
      </c>
      <c r="B447" s="1077"/>
      <c r="C447" s="1077"/>
      <c r="D447" s="1078"/>
      <c r="E447" s="729"/>
      <c r="F447" s="730"/>
      <c r="G447" s="730"/>
      <c r="H447" s="731"/>
      <c r="I447" s="732">
        <f>SUM(I440:I446)</f>
        <v>214500</v>
      </c>
      <c r="J447" s="732"/>
      <c r="K447" s="735"/>
      <c r="L447" s="732"/>
      <c r="M447" s="732"/>
      <c r="N447" s="732">
        <f>SUM(N440:N446)</f>
        <v>286.25</v>
      </c>
      <c r="O447" s="732">
        <f>SUM(O440:O446)</f>
        <v>2003.75</v>
      </c>
    </row>
    <row r="448" spans="1:15" ht="15" customHeight="1">
      <c r="A448" s="1126" t="s">
        <v>32</v>
      </c>
      <c r="B448" s="1126" t="s">
        <v>23</v>
      </c>
      <c r="C448" s="1126" t="s">
        <v>986</v>
      </c>
      <c r="D448" s="556" t="s">
        <v>940</v>
      </c>
      <c r="E448" s="155" t="s">
        <v>707</v>
      </c>
      <c r="F448" s="589">
        <v>8000</v>
      </c>
      <c r="G448" s="589"/>
      <c r="H448" s="589" t="s">
        <v>782</v>
      </c>
      <c r="I448" s="704">
        <v>40000</v>
      </c>
      <c r="J448" s="695" t="s">
        <v>38</v>
      </c>
      <c r="K448" s="590" t="s">
        <v>39</v>
      </c>
      <c r="L448" s="589" t="s">
        <v>40</v>
      </c>
      <c r="M448" s="589" t="s">
        <v>43</v>
      </c>
      <c r="N448" s="704">
        <v>100</v>
      </c>
      <c r="O448" s="571">
        <f t="shared" si="27"/>
        <v>700</v>
      </c>
    </row>
    <row r="449" spans="1:15" ht="15" customHeight="1">
      <c r="A449" s="1127"/>
      <c r="B449" s="1127"/>
      <c r="C449" s="1127"/>
      <c r="D449" s="556" t="s">
        <v>987</v>
      </c>
      <c r="E449" s="155" t="s">
        <v>947</v>
      </c>
      <c r="F449" s="589">
        <v>30000</v>
      </c>
      <c r="G449" s="589"/>
      <c r="H449" s="589" t="s">
        <v>782</v>
      </c>
      <c r="I449" s="704">
        <v>40000</v>
      </c>
      <c r="J449" s="695" t="s">
        <v>38</v>
      </c>
      <c r="K449" s="590" t="s">
        <v>39</v>
      </c>
      <c r="L449" s="589" t="s">
        <v>40</v>
      </c>
      <c r="M449" s="589" t="s">
        <v>43</v>
      </c>
      <c r="N449" s="704">
        <v>100</v>
      </c>
      <c r="O449" s="571">
        <f t="shared" si="27"/>
        <v>700</v>
      </c>
    </row>
    <row r="450" spans="1:15" ht="15" customHeight="1">
      <c r="A450" s="1127"/>
      <c r="B450" s="1127"/>
      <c r="C450" s="1127"/>
      <c r="D450" s="556" t="s">
        <v>944</v>
      </c>
      <c r="E450" s="155" t="s">
        <v>707</v>
      </c>
      <c r="F450" s="589">
        <v>10000</v>
      </c>
      <c r="G450" s="589"/>
      <c r="H450" s="589" t="s">
        <v>782</v>
      </c>
      <c r="I450" s="704">
        <v>200000</v>
      </c>
      <c r="J450" s="695" t="s">
        <v>38</v>
      </c>
      <c r="K450" s="590" t="s">
        <v>39</v>
      </c>
      <c r="L450" s="589" t="s">
        <v>40</v>
      </c>
      <c r="M450" s="589" t="s">
        <v>43</v>
      </c>
      <c r="N450" s="704">
        <v>166.66666666666666</v>
      </c>
      <c r="O450" s="571">
        <f t="shared" si="27"/>
        <v>1166.6666666666665</v>
      </c>
    </row>
    <row r="451" spans="1:15" ht="15" customHeight="1">
      <c r="A451" s="1127"/>
      <c r="B451" s="1127"/>
      <c r="C451" s="1127"/>
      <c r="D451" s="556" t="s">
        <v>949</v>
      </c>
      <c r="E451" s="155" t="s">
        <v>841</v>
      </c>
      <c r="F451" s="589">
        <v>300</v>
      </c>
      <c r="G451" s="589"/>
      <c r="H451" s="589" t="s">
        <v>782</v>
      </c>
      <c r="I451" s="704">
        <v>3000</v>
      </c>
      <c r="J451" s="695" t="s">
        <v>38</v>
      </c>
      <c r="K451" s="590" t="s">
        <v>39</v>
      </c>
      <c r="L451" s="589" t="s">
        <v>40</v>
      </c>
      <c r="M451" s="589" t="s">
        <v>43</v>
      </c>
      <c r="N451" s="704">
        <v>7.5</v>
      </c>
      <c r="O451" s="571">
        <f t="shared" si="27"/>
        <v>52.5</v>
      </c>
    </row>
    <row r="452" spans="1:15" ht="15" customHeight="1">
      <c r="A452" s="1127"/>
      <c r="B452" s="1127"/>
      <c r="C452" s="1127"/>
      <c r="D452" s="556" t="s">
        <v>954</v>
      </c>
      <c r="E452" s="155" t="s">
        <v>920</v>
      </c>
      <c r="F452" s="589">
        <v>15</v>
      </c>
      <c r="G452" s="589"/>
      <c r="H452" s="589" t="s">
        <v>782</v>
      </c>
      <c r="I452" s="704">
        <v>12000</v>
      </c>
      <c r="J452" s="695" t="s">
        <v>38</v>
      </c>
      <c r="K452" s="590" t="s">
        <v>39</v>
      </c>
      <c r="L452" s="589" t="s">
        <v>40</v>
      </c>
      <c r="M452" s="589" t="s">
        <v>43</v>
      </c>
      <c r="N452" s="704">
        <v>30</v>
      </c>
      <c r="O452" s="571">
        <f t="shared" si="27"/>
        <v>210</v>
      </c>
    </row>
    <row r="453" spans="1:15" ht="15" customHeight="1">
      <c r="A453" s="1127"/>
      <c r="B453" s="1127"/>
      <c r="C453" s="1127"/>
      <c r="D453" s="556" t="s">
        <v>921</v>
      </c>
      <c r="E453" s="155" t="s">
        <v>922</v>
      </c>
      <c r="F453" s="589">
        <v>10000</v>
      </c>
      <c r="G453" s="589"/>
      <c r="H453" s="589" t="s">
        <v>782</v>
      </c>
      <c r="I453" s="704">
        <v>20000</v>
      </c>
      <c r="J453" s="695" t="s">
        <v>38</v>
      </c>
      <c r="K453" s="590" t="s">
        <v>39</v>
      </c>
      <c r="L453" s="589" t="s">
        <v>40</v>
      </c>
      <c r="M453" s="589" t="s">
        <v>43</v>
      </c>
      <c r="N453" s="704">
        <v>50</v>
      </c>
      <c r="O453" s="571">
        <f t="shared" si="27"/>
        <v>350</v>
      </c>
    </row>
    <row r="454" spans="1:15" ht="15" customHeight="1">
      <c r="A454" s="1127"/>
      <c r="B454" s="1127"/>
      <c r="C454" s="1127"/>
      <c r="D454" s="556" t="s">
        <v>988</v>
      </c>
      <c r="E454" s="155" t="s">
        <v>707</v>
      </c>
      <c r="F454" s="589">
        <v>2000</v>
      </c>
      <c r="G454" s="589"/>
      <c r="H454" s="589" t="s">
        <v>782</v>
      </c>
      <c r="I454" s="704">
        <v>4000</v>
      </c>
      <c r="J454" s="695" t="s">
        <v>38</v>
      </c>
      <c r="K454" s="590" t="s">
        <v>39</v>
      </c>
      <c r="L454" s="589" t="s">
        <v>40</v>
      </c>
      <c r="M454" s="589" t="s">
        <v>43</v>
      </c>
      <c r="N454" s="704">
        <v>10</v>
      </c>
      <c r="O454" s="571">
        <f t="shared" si="27"/>
        <v>70</v>
      </c>
    </row>
    <row r="455" spans="1:15" ht="15" customHeight="1">
      <c r="A455" s="1128"/>
      <c r="B455" s="1128"/>
      <c r="C455" s="1128"/>
      <c r="D455" s="556" t="s">
        <v>924</v>
      </c>
      <c r="E455" s="155" t="s">
        <v>812</v>
      </c>
      <c r="F455" s="589">
        <v>1</v>
      </c>
      <c r="G455" s="589"/>
      <c r="H455" s="589" t="s">
        <v>782</v>
      </c>
      <c r="I455" s="704">
        <v>30000</v>
      </c>
      <c r="J455" s="695" t="s">
        <v>38</v>
      </c>
      <c r="K455" s="590" t="s">
        <v>39</v>
      </c>
      <c r="L455" s="589" t="s">
        <v>40</v>
      </c>
      <c r="M455" s="589" t="s">
        <v>43</v>
      </c>
      <c r="N455" s="704">
        <v>0</v>
      </c>
      <c r="O455" s="571">
        <f t="shared" si="27"/>
        <v>0</v>
      </c>
    </row>
    <row r="456" spans="1:15" s="533" customFormat="1" ht="34.5" customHeight="1">
      <c r="A456" s="1076" t="s">
        <v>1063</v>
      </c>
      <c r="B456" s="1077"/>
      <c r="C456" s="1077"/>
      <c r="D456" s="1078"/>
      <c r="E456" s="729"/>
      <c r="F456" s="730"/>
      <c r="G456" s="730"/>
      <c r="H456" s="731"/>
      <c r="I456" s="732">
        <f>SUM(I448:I455)</f>
        <v>349000</v>
      </c>
      <c r="J456" s="732"/>
      <c r="K456" s="735"/>
      <c r="L456" s="732"/>
      <c r="M456" s="732"/>
      <c r="N456" s="732">
        <f>SUM(N448:N455)</f>
        <v>464.16666666666663</v>
      </c>
      <c r="O456" s="732">
        <f>SUM(O448:O455)</f>
        <v>3249.1666666666665</v>
      </c>
    </row>
    <row r="457" spans="1:15" ht="18.75">
      <c r="A457" s="1126" t="s">
        <v>65</v>
      </c>
      <c r="B457" s="1126" t="s">
        <v>822</v>
      </c>
      <c r="C457" s="1126" t="s">
        <v>823</v>
      </c>
      <c r="D457" s="556" t="s">
        <v>989</v>
      </c>
      <c r="E457" s="155" t="s">
        <v>707</v>
      </c>
      <c r="F457" s="589">
        <v>16000</v>
      </c>
      <c r="G457" s="589"/>
      <c r="H457" s="589" t="s">
        <v>782</v>
      </c>
      <c r="I457" s="704">
        <v>80000</v>
      </c>
      <c r="J457" s="695" t="s">
        <v>38</v>
      </c>
      <c r="K457" s="590" t="s">
        <v>39</v>
      </c>
      <c r="L457" s="590" t="s">
        <v>40</v>
      </c>
      <c r="M457" s="589" t="s">
        <v>43</v>
      </c>
      <c r="N457" s="704">
        <v>200</v>
      </c>
      <c r="O457" s="571">
        <f t="shared" si="27"/>
        <v>1400</v>
      </c>
    </row>
    <row r="458" spans="1:15" ht="18.75">
      <c r="A458" s="1127"/>
      <c r="B458" s="1127"/>
      <c r="C458" s="1127"/>
      <c r="D458" s="556" t="s">
        <v>990</v>
      </c>
      <c r="E458" s="155" t="s">
        <v>707</v>
      </c>
      <c r="F458" s="589">
        <v>4000</v>
      </c>
      <c r="G458" s="589"/>
      <c r="H458" s="589" t="s">
        <v>782</v>
      </c>
      <c r="I458" s="704">
        <v>8000</v>
      </c>
      <c r="J458" s="695" t="s">
        <v>38</v>
      </c>
      <c r="K458" s="590" t="s">
        <v>39</v>
      </c>
      <c r="L458" s="590" t="s">
        <v>40</v>
      </c>
      <c r="M458" s="589" t="s">
        <v>43</v>
      </c>
      <c r="N458" s="704">
        <v>20</v>
      </c>
      <c r="O458" s="571">
        <f t="shared" si="27"/>
        <v>140</v>
      </c>
    </row>
    <row r="459" spans="1:15" ht="18.75">
      <c r="A459" s="1127"/>
      <c r="B459" s="1127"/>
      <c r="C459" s="1127"/>
      <c r="D459" s="556" t="s">
        <v>991</v>
      </c>
      <c r="E459" s="155" t="s">
        <v>707</v>
      </c>
      <c r="F459" s="589">
        <v>12000</v>
      </c>
      <c r="G459" s="589"/>
      <c r="H459" s="589" t="s">
        <v>782</v>
      </c>
      <c r="I459" s="704">
        <v>240000</v>
      </c>
      <c r="J459" s="695" t="s">
        <v>38</v>
      </c>
      <c r="K459" s="590" t="s">
        <v>39</v>
      </c>
      <c r="L459" s="590" t="s">
        <v>40</v>
      </c>
      <c r="M459" s="589" t="s">
        <v>43</v>
      </c>
      <c r="N459" s="704">
        <v>600</v>
      </c>
      <c r="O459" s="571">
        <f t="shared" si="27"/>
        <v>4200</v>
      </c>
    </row>
    <row r="460" spans="1:15" ht="18.75">
      <c r="A460" s="1127"/>
      <c r="B460" s="1127"/>
      <c r="C460" s="1127"/>
      <c r="D460" s="556" t="s">
        <v>992</v>
      </c>
      <c r="E460" s="155" t="s">
        <v>841</v>
      </c>
      <c r="F460" s="589">
        <v>350</v>
      </c>
      <c r="G460" s="589"/>
      <c r="H460" s="589" t="s">
        <v>782</v>
      </c>
      <c r="I460" s="704">
        <v>3500</v>
      </c>
      <c r="J460" s="695" t="s">
        <v>38</v>
      </c>
      <c r="K460" s="590" t="s">
        <v>39</v>
      </c>
      <c r="L460" s="590" t="s">
        <v>40</v>
      </c>
      <c r="M460" s="589" t="s">
        <v>43</v>
      </c>
      <c r="N460" s="704">
        <v>8.75</v>
      </c>
      <c r="O460" s="571">
        <f t="shared" si="27"/>
        <v>61.25</v>
      </c>
    </row>
    <row r="461" spans="1:15" ht="18.75">
      <c r="A461" s="1127"/>
      <c r="B461" s="1127"/>
      <c r="C461" s="1127"/>
      <c r="D461" s="556" t="s">
        <v>954</v>
      </c>
      <c r="E461" s="155" t="s">
        <v>920</v>
      </c>
      <c r="F461" s="589">
        <v>15</v>
      </c>
      <c r="G461" s="589"/>
      <c r="H461" s="589" t="s">
        <v>782</v>
      </c>
      <c r="I461" s="704">
        <v>12000</v>
      </c>
      <c r="J461" s="695" t="s">
        <v>38</v>
      </c>
      <c r="K461" s="590" t="s">
        <v>39</v>
      </c>
      <c r="L461" s="590" t="s">
        <v>40</v>
      </c>
      <c r="M461" s="589" t="s">
        <v>43</v>
      </c>
      <c r="N461" s="704">
        <v>30</v>
      </c>
      <c r="O461" s="571">
        <f t="shared" si="27"/>
        <v>210</v>
      </c>
    </row>
    <row r="462" spans="1:15" ht="18.75">
      <c r="A462" s="1127"/>
      <c r="B462" s="1127"/>
      <c r="C462" s="1127"/>
      <c r="D462" s="556" t="s">
        <v>993</v>
      </c>
      <c r="E462" s="155" t="s">
        <v>922</v>
      </c>
      <c r="F462" s="589">
        <v>30000</v>
      </c>
      <c r="G462" s="589"/>
      <c r="H462" s="589" t="s">
        <v>782</v>
      </c>
      <c r="I462" s="704">
        <v>60000</v>
      </c>
      <c r="J462" s="695" t="s">
        <v>38</v>
      </c>
      <c r="K462" s="590" t="s">
        <v>39</v>
      </c>
      <c r="L462" s="590" t="s">
        <v>40</v>
      </c>
      <c r="M462" s="589" t="s">
        <v>43</v>
      </c>
      <c r="N462" s="704">
        <v>150</v>
      </c>
      <c r="O462" s="571">
        <f t="shared" si="27"/>
        <v>1050</v>
      </c>
    </row>
    <row r="463" spans="1:15" ht="18.75">
      <c r="A463" s="1128"/>
      <c r="B463" s="1128"/>
      <c r="C463" s="1128"/>
      <c r="D463" s="556" t="s">
        <v>924</v>
      </c>
      <c r="E463" s="155" t="s">
        <v>812</v>
      </c>
      <c r="F463" s="589">
        <v>1</v>
      </c>
      <c r="G463" s="589"/>
      <c r="H463" s="589" t="s">
        <v>782</v>
      </c>
      <c r="I463" s="704">
        <v>30000</v>
      </c>
      <c r="J463" s="695" t="s">
        <v>38</v>
      </c>
      <c r="K463" s="590" t="s">
        <v>39</v>
      </c>
      <c r="L463" s="590" t="s">
        <v>40</v>
      </c>
      <c r="M463" s="589" t="s">
        <v>43</v>
      </c>
      <c r="N463" s="704">
        <v>0</v>
      </c>
      <c r="O463" s="571">
        <f t="shared" si="27"/>
        <v>0</v>
      </c>
    </row>
    <row r="464" spans="1:15" s="533" customFormat="1" ht="34.5" customHeight="1">
      <c r="A464" s="1076" t="s">
        <v>1063</v>
      </c>
      <c r="B464" s="1077"/>
      <c r="C464" s="1077"/>
      <c r="D464" s="1078"/>
      <c r="E464" s="729"/>
      <c r="F464" s="730"/>
      <c r="G464" s="730"/>
      <c r="H464" s="731"/>
      <c r="I464" s="732">
        <f>SUM(I457:I463)</f>
        <v>433500</v>
      </c>
      <c r="J464" s="732"/>
      <c r="K464" s="735"/>
      <c r="L464" s="732"/>
      <c r="M464" s="732"/>
      <c r="N464" s="732">
        <f>SUM(N457:N463)</f>
        <v>1008.75</v>
      </c>
      <c r="O464" s="732">
        <f>SUM(O457:O463)</f>
        <v>7061.25</v>
      </c>
    </row>
    <row r="465" spans="1:15" ht="18.75">
      <c r="A465" s="1126" t="s">
        <v>62</v>
      </c>
      <c r="B465" s="1126" t="s">
        <v>788</v>
      </c>
      <c r="C465" s="1126" t="s">
        <v>824</v>
      </c>
      <c r="D465" s="556" t="s">
        <v>959</v>
      </c>
      <c r="E465" s="155" t="s">
        <v>707</v>
      </c>
      <c r="F465" s="589">
        <v>12000</v>
      </c>
      <c r="G465" s="589"/>
      <c r="H465" s="589" t="s">
        <v>782</v>
      </c>
      <c r="I465" s="704">
        <v>60000</v>
      </c>
      <c r="J465" s="695" t="s">
        <v>38</v>
      </c>
      <c r="K465" s="590" t="s">
        <v>39</v>
      </c>
      <c r="L465" s="590" t="s">
        <v>40</v>
      </c>
      <c r="M465" s="589" t="s">
        <v>43</v>
      </c>
      <c r="N465" s="704">
        <v>150</v>
      </c>
      <c r="O465" s="571">
        <f t="shared" si="27"/>
        <v>1050</v>
      </c>
    </row>
    <row r="466" spans="1:15" ht="18.75">
      <c r="A466" s="1127"/>
      <c r="B466" s="1127"/>
      <c r="C466" s="1127"/>
      <c r="D466" s="556" t="s">
        <v>923</v>
      </c>
      <c r="E466" s="155" t="s">
        <v>707</v>
      </c>
      <c r="F466" s="589">
        <v>2000</v>
      </c>
      <c r="G466" s="589"/>
      <c r="H466" s="589" t="s">
        <v>782</v>
      </c>
      <c r="I466" s="704">
        <v>4000</v>
      </c>
      <c r="J466" s="695" t="s">
        <v>38</v>
      </c>
      <c r="K466" s="590" t="s">
        <v>39</v>
      </c>
      <c r="L466" s="590" t="s">
        <v>40</v>
      </c>
      <c r="M466" s="589" t="s">
        <v>43</v>
      </c>
      <c r="N466" s="704">
        <v>10</v>
      </c>
      <c r="O466" s="571">
        <f t="shared" si="27"/>
        <v>70</v>
      </c>
    </row>
    <row r="467" spans="1:15" ht="18.75">
      <c r="A467" s="1127"/>
      <c r="B467" s="1127"/>
      <c r="C467" s="1127"/>
      <c r="D467" s="556" t="s">
        <v>946</v>
      </c>
      <c r="E467" s="155" t="s">
        <v>947</v>
      </c>
      <c r="F467" s="589">
        <v>20000</v>
      </c>
      <c r="G467" s="589"/>
      <c r="H467" s="589" t="s">
        <v>782</v>
      </c>
      <c r="I467" s="704">
        <v>26666.666666666664</v>
      </c>
      <c r="J467" s="695" t="s">
        <v>38</v>
      </c>
      <c r="K467" s="590" t="s">
        <v>39</v>
      </c>
      <c r="L467" s="590" t="s">
        <v>40</v>
      </c>
      <c r="M467" s="589" t="s">
        <v>43</v>
      </c>
      <c r="N467" s="704">
        <v>66.666666666666671</v>
      </c>
      <c r="O467" s="571">
        <f t="shared" ref="O467:O530" si="28">N467*7</f>
        <v>466.66666666666669</v>
      </c>
    </row>
    <row r="468" spans="1:15" ht="18.75">
      <c r="A468" s="1127"/>
      <c r="B468" s="1127"/>
      <c r="C468" s="1127"/>
      <c r="D468" s="556" t="s">
        <v>957</v>
      </c>
      <c r="E468" s="155" t="s">
        <v>707</v>
      </c>
      <c r="F468" s="589">
        <v>12000</v>
      </c>
      <c r="G468" s="589"/>
      <c r="H468" s="589" t="s">
        <v>782</v>
      </c>
      <c r="I468" s="704">
        <v>240000</v>
      </c>
      <c r="J468" s="695" t="s">
        <v>38</v>
      </c>
      <c r="K468" s="590" t="s">
        <v>39</v>
      </c>
      <c r="L468" s="590" t="s">
        <v>40</v>
      </c>
      <c r="M468" s="589" t="s">
        <v>43</v>
      </c>
      <c r="N468" s="704">
        <v>600</v>
      </c>
      <c r="O468" s="571">
        <f t="shared" si="28"/>
        <v>4200</v>
      </c>
    </row>
    <row r="469" spans="1:15" ht="18.75">
      <c r="A469" s="1127"/>
      <c r="B469" s="1127"/>
      <c r="C469" s="1127"/>
      <c r="D469" s="556" t="s">
        <v>949</v>
      </c>
      <c r="E469" s="155" t="s">
        <v>841</v>
      </c>
      <c r="F469" s="589">
        <v>300</v>
      </c>
      <c r="G469" s="589"/>
      <c r="H469" s="589" t="s">
        <v>782</v>
      </c>
      <c r="I469" s="704">
        <v>3000</v>
      </c>
      <c r="J469" s="695" t="s">
        <v>38</v>
      </c>
      <c r="K469" s="590" t="s">
        <v>39</v>
      </c>
      <c r="L469" s="590" t="s">
        <v>40</v>
      </c>
      <c r="M469" s="589" t="s">
        <v>43</v>
      </c>
      <c r="N469" s="704">
        <v>7.5</v>
      </c>
      <c r="O469" s="571">
        <f t="shared" si="28"/>
        <v>52.5</v>
      </c>
    </row>
    <row r="470" spans="1:15" ht="18.75">
      <c r="A470" s="1127"/>
      <c r="B470" s="1127"/>
      <c r="C470" s="1127"/>
      <c r="D470" s="556" t="s">
        <v>919</v>
      </c>
      <c r="E470" s="155" t="s">
        <v>920</v>
      </c>
      <c r="F470" s="589">
        <v>15</v>
      </c>
      <c r="G470" s="589"/>
      <c r="H470" s="589" t="s">
        <v>782</v>
      </c>
      <c r="I470" s="704">
        <v>12000</v>
      </c>
      <c r="J470" s="695" t="s">
        <v>38</v>
      </c>
      <c r="K470" s="590" t="s">
        <v>39</v>
      </c>
      <c r="L470" s="590" t="s">
        <v>40</v>
      </c>
      <c r="M470" s="589" t="s">
        <v>43</v>
      </c>
      <c r="N470" s="704">
        <v>30</v>
      </c>
      <c r="O470" s="571">
        <f t="shared" si="28"/>
        <v>210</v>
      </c>
    </row>
    <row r="471" spans="1:15" ht="18.75">
      <c r="A471" s="1127"/>
      <c r="B471" s="1127"/>
      <c r="C471" s="1127"/>
      <c r="D471" s="556" t="s">
        <v>950</v>
      </c>
      <c r="E471" s="155" t="s">
        <v>922</v>
      </c>
      <c r="F471" s="589">
        <v>10000</v>
      </c>
      <c r="G471" s="589"/>
      <c r="H471" s="589" t="s">
        <v>782</v>
      </c>
      <c r="I471" s="704">
        <v>20000</v>
      </c>
      <c r="J471" s="695" t="s">
        <v>38</v>
      </c>
      <c r="K471" s="590" t="s">
        <v>39</v>
      </c>
      <c r="L471" s="590" t="s">
        <v>40</v>
      </c>
      <c r="M471" s="589" t="s">
        <v>43</v>
      </c>
      <c r="N471" s="704">
        <v>50</v>
      </c>
      <c r="O471" s="571">
        <f t="shared" si="28"/>
        <v>350</v>
      </c>
    </row>
    <row r="472" spans="1:15" ht="18.75">
      <c r="A472" s="1128"/>
      <c r="B472" s="1128"/>
      <c r="C472" s="1128"/>
      <c r="D472" s="556" t="s">
        <v>924</v>
      </c>
      <c r="E472" s="155" t="s">
        <v>812</v>
      </c>
      <c r="F472" s="589">
        <v>1</v>
      </c>
      <c r="G472" s="589"/>
      <c r="H472" s="589" t="s">
        <v>782</v>
      </c>
      <c r="I472" s="704">
        <v>30000</v>
      </c>
      <c r="J472" s="695" t="s">
        <v>38</v>
      </c>
      <c r="K472" s="590" t="s">
        <v>39</v>
      </c>
      <c r="L472" s="590" t="s">
        <v>40</v>
      </c>
      <c r="M472" s="589" t="s">
        <v>43</v>
      </c>
      <c r="N472" s="704">
        <v>0</v>
      </c>
      <c r="O472" s="571">
        <f t="shared" si="28"/>
        <v>0</v>
      </c>
    </row>
    <row r="473" spans="1:15" s="533" customFormat="1" ht="34.5" customHeight="1">
      <c r="A473" s="1076" t="s">
        <v>1063</v>
      </c>
      <c r="B473" s="1077"/>
      <c r="C473" s="1077"/>
      <c r="D473" s="1078"/>
      <c r="E473" s="729"/>
      <c r="F473" s="730"/>
      <c r="G473" s="730"/>
      <c r="H473" s="731"/>
      <c r="I473" s="732">
        <f>SUM(I465:I472)</f>
        <v>395666.66666666663</v>
      </c>
      <c r="J473" s="732"/>
      <c r="K473" s="735"/>
      <c r="L473" s="732"/>
      <c r="M473" s="732"/>
      <c r="N473" s="732">
        <f>SUM(N465:N472)</f>
        <v>914.16666666666674</v>
      </c>
      <c r="O473" s="732">
        <f>SUM(O465:O472)</f>
        <v>6399.166666666667</v>
      </c>
    </row>
    <row r="474" spans="1:15" ht="18.75">
      <c r="A474" s="1126" t="s">
        <v>994</v>
      </c>
      <c r="B474" s="1126" t="s">
        <v>23</v>
      </c>
      <c r="C474" s="1126" t="s">
        <v>788</v>
      </c>
      <c r="D474" s="556" t="s">
        <v>995</v>
      </c>
      <c r="E474" s="155" t="s">
        <v>707</v>
      </c>
      <c r="F474" s="589">
        <v>12000</v>
      </c>
      <c r="G474" s="589"/>
      <c r="H474" s="589" t="s">
        <v>782</v>
      </c>
      <c r="I474" s="704">
        <v>60000</v>
      </c>
      <c r="J474" s="695" t="s">
        <v>38</v>
      </c>
      <c r="K474" s="590" t="s">
        <v>39</v>
      </c>
      <c r="L474" s="590" t="s">
        <v>40</v>
      </c>
      <c r="M474" s="589" t="s">
        <v>43</v>
      </c>
      <c r="N474" s="704">
        <v>150</v>
      </c>
      <c r="O474" s="571">
        <f t="shared" si="28"/>
        <v>1050</v>
      </c>
    </row>
    <row r="475" spans="1:15" ht="18.75">
      <c r="A475" s="1127"/>
      <c r="B475" s="1127"/>
      <c r="C475" s="1127"/>
      <c r="D475" s="556" t="s">
        <v>944</v>
      </c>
      <c r="E475" s="155" t="s">
        <v>707</v>
      </c>
      <c r="F475" s="589">
        <v>10000</v>
      </c>
      <c r="G475" s="589"/>
      <c r="H475" s="589" t="s">
        <v>782</v>
      </c>
      <c r="I475" s="704">
        <v>200000</v>
      </c>
      <c r="J475" s="695" t="s">
        <v>38</v>
      </c>
      <c r="K475" s="590" t="s">
        <v>39</v>
      </c>
      <c r="L475" s="590" t="s">
        <v>40</v>
      </c>
      <c r="M475" s="589" t="s">
        <v>43</v>
      </c>
      <c r="N475" s="704">
        <v>166.66666666666666</v>
      </c>
      <c r="O475" s="571">
        <f t="shared" si="28"/>
        <v>1166.6666666666665</v>
      </c>
    </row>
    <row r="476" spans="1:15" ht="18.75">
      <c r="A476" s="1127"/>
      <c r="B476" s="1127"/>
      <c r="C476" s="1127"/>
      <c r="D476" s="556" t="s">
        <v>992</v>
      </c>
      <c r="E476" s="155" t="s">
        <v>841</v>
      </c>
      <c r="F476" s="589">
        <v>350</v>
      </c>
      <c r="G476" s="589"/>
      <c r="H476" s="589" t="s">
        <v>782</v>
      </c>
      <c r="I476" s="704">
        <v>3500</v>
      </c>
      <c r="J476" s="695" t="s">
        <v>38</v>
      </c>
      <c r="K476" s="590" t="s">
        <v>39</v>
      </c>
      <c r="L476" s="590" t="s">
        <v>40</v>
      </c>
      <c r="M476" s="589" t="s">
        <v>43</v>
      </c>
      <c r="N476" s="704">
        <v>8.75</v>
      </c>
      <c r="O476" s="571">
        <f t="shared" si="28"/>
        <v>61.25</v>
      </c>
    </row>
    <row r="477" spans="1:15" ht="18.75">
      <c r="A477" s="1127"/>
      <c r="B477" s="1127"/>
      <c r="C477" s="1127"/>
      <c r="D477" s="556" t="s">
        <v>954</v>
      </c>
      <c r="E477" s="155" t="s">
        <v>920</v>
      </c>
      <c r="F477" s="589">
        <v>15</v>
      </c>
      <c r="G477" s="589"/>
      <c r="H477" s="589" t="s">
        <v>782</v>
      </c>
      <c r="I477" s="704">
        <v>12000</v>
      </c>
      <c r="J477" s="695" t="s">
        <v>38</v>
      </c>
      <c r="K477" s="590" t="s">
        <v>39</v>
      </c>
      <c r="L477" s="590" t="s">
        <v>40</v>
      </c>
      <c r="M477" s="589" t="s">
        <v>43</v>
      </c>
      <c r="N477" s="704">
        <v>30</v>
      </c>
      <c r="O477" s="571">
        <f t="shared" si="28"/>
        <v>210</v>
      </c>
    </row>
    <row r="478" spans="1:15" ht="18.75">
      <c r="A478" s="1127"/>
      <c r="B478" s="1127"/>
      <c r="C478" s="1127"/>
      <c r="D478" s="556" t="s">
        <v>921</v>
      </c>
      <c r="E478" s="155" t="s">
        <v>922</v>
      </c>
      <c r="F478" s="589">
        <v>10000</v>
      </c>
      <c r="G478" s="589"/>
      <c r="H478" s="589" t="s">
        <v>782</v>
      </c>
      <c r="I478" s="704">
        <v>20000</v>
      </c>
      <c r="J478" s="695" t="s">
        <v>38</v>
      </c>
      <c r="K478" s="590" t="s">
        <v>39</v>
      </c>
      <c r="L478" s="590" t="s">
        <v>40</v>
      </c>
      <c r="M478" s="589" t="s">
        <v>43</v>
      </c>
      <c r="N478" s="704">
        <v>50</v>
      </c>
      <c r="O478" s="571">
        <f t="shared" si="28"/>
        <v>350</v>
      </c>
    </row>
    <row r="479" spans="1:15" ht="18.75">
      <c r="A479" s="1127"/>
      <c r="B479" s="1127"/>
      <c r="C479" s="1127"/>
      <c r="D479" s="556" t="s">
        <v>923</v>
      </c>
      <c r="E479" s="155" t="s">
        <v>707</v>
      </c>
      <c r="F479" s="589">
        <v>2000</v>
      </c>
      <c r="G479" s="589"/>
      <c r="H479" s="589" t="s">
        <v>782</v>
      </c>
      <c r="I479" s="704">
        <v>4000</v>
      </c>
      <c r="J479" s="695" t="s">
        <v>38</v>
      </c>
      <c r="K479" s="590" t="s">
        <v>39</v>
      </c>
      <c r="L479" s="590" t="s">
        <v>40</v>
      </c>
      <c r="M479" s="589" t="s">
        <v>43</v>
      </c>
      <c r="N479" s="704">
        <v>10</v>
      </c>
      <c r="O479" s="571">
        <f t="shared" si="28"/>
        <v>70</v>
      </c>
    </row>
    <row r="480" spans="1:15" ht="18.75">
      <c r="A480" s="1128"/>
      <c r="B480" s="1128"/>
      <c r="C480" s="1128"/>
      <c r="D480" s="556" t="s">
        <v>924</v>
      </c>
      <c r="E480" s="155" t="s">
        <v>812</v>
      </c>
      <c r="F480" s="589">
        <v>1</v>
      </c>
      <c r="G480" s="589"/>
      <c r="H480" s="589" t="s">
        <v>782</v>
      </c>
      <c r="I480" s="704">
        <v>30000</v>
      </c>
      <c r="J480" s="695" t="s">
        <v>38</v>
      </c>
      <c r="K480" s="590" t="s">
        <v>39</v>
      </c>
      <c r="L480" s="590" t="s">
        <v>40</v>
      </c>
      <c r="M480" s="589" t="s">
        <v>43</v>
      </c>
      <c r="N480" s="704">
        <v>0</v>
      </c>
      <c r="O480" s="571">
        <f t="shared" si="28"/>
        <v>0</v>
      </c>
    </row>
    <row r="481" spans="1:15" s="533" customFormat="1" ht="34.5" customHeight="1">
      <c r="A481" s="1076" t="s">
        <v>1063</v>
      </c>
      <c r="B481" s="1077"/>
      <c r="C481" s="1077"/>
      <c r="D481" s="1078"/>
      <c r="E481" s="729"/>
      <c r="F481" s="730"/>
      <c r="G481" s="730"/>
      <c r="H481" s="731"/>
      <c r="I481" s="732">
        <f>SUM(I474:I480)</f>
        <v>329500</v>
      </c>
      <c r="J481" s="732"/>
      <c r="K481" s="735"/>
      <c r="L481" s="732"/>
      <c r="M481" s="732"/>
      <c r="N481" s="732">
        <f>SUM(N474:N480)</f>
        <v>415.41666666666663</v>
      </c>
      <c r="O481" s="732">
        <f>SUM(O474:O480)</f>
        <v>2907.9166666666665</v>
      </c>
    </row>
    <row r="482" spans="1:15" ht="18.75">
      <c r="A482" s="1126" t="s">
        <v>775</v>
      </c>
      <c r="B482" s="1126" t="s">
        <v>23</v>
      </c>
      <c r="C482" s="1126" t="s">
        <v>996</v>
      </c>
      <c r="D482" s="556" t="s">
        <v>997</v>
      </c>
      <c r="E482" s="155" t="s">
        <v>707</v>
      </c>
      <c r="F482" s="589">
        <v>20000</v>
      </c>
      <c r="G482" s="589"/>
      <c r="H482" s="589" t="s">
        <v>782</v>
      </c>
      <c r="I482" s="704">
        <v>100000</v>
      </c>
      <c r="J482" s="695" t="s">
        <v>38</v>
      </c>
      <c r="K482" s="590" t="s">
        <v>39</v>
      </c>
      <c r="L482" s="590" t="s">
        <v>40</v>
      </c>
      <c r="M482" s="589" t="s">
        <v>43</v>
      </c>
      <c r="N482" s="704">
        <v>250</v>
      </c>
      <c r="O482" s="571">
        <f t="shared" si="28"/>
        <v>1750</v>
      </c>
    </row>
    <row r="483" spans="1:15" ht="18.75">
      <c r="A483" s="1127"/>
      <c r="B483" s="1127"/>
      <c r="C483" s="1127"/>
      <c r="D483" s="556" t="s">
        <v>957</v>
      </c>
      <c r="E483" s="155" t="s">
        <v>707</v>
      </c>
      <c r="F483" s="589">
        <v>12000</v>
      </c>
      <c r="G483" s="589"/>
      <c r="H483" s="589" t="s">
        <v>782</v>
      </c>
      <c r="I483" s="704">
        <v>240000</v>
      </c>
      <c r="J483" s="695" t="s">
        <v>38</v>
      </c>
      <c r="K483" s="590" t="s">
        <v>39</v>
      </c>
      <c r="L483" s="590" t="s">
        <v>40</v>
      </c>
      <c r="M483" s="589" t="s">
        <v>43</v>
      </c>
      <c r="N483" s="704">
        <v>200</v>
      </c>
      <c r="O483" s="571">
        <f t="shared" si="28"/>
        <v>1400</v>
      </c>
    </row>
    <row r="484" spans="1:15" ht="18.75">
      <c r="A484" s="1127"/>
      <c r="B484" s="1127"/>
      <c r="C484" s="1127"/>
      <c r="D484" s="556" t="s">
        <v>949</v>
      </c>
      <c r="E484" s="155" t="s">
        <v>841</v>
      </c>
      <c r="F484" s="589">
        <v>300</v>
      </c>
      <c r="G484" s="589"/>
      <c r="H484" s="589" t="s">
        <v>782</v>
      </c>
      <c r="I484" s="704">
        <v>3000</v>
      </c>
      <c r="J484" s="695" t="s">
        <v>38</v>
      </c>
      <c r="K484" s="590" t="s">
        <v>39</v>
      </c>
      <c r="L484" s="590" t="s">
        <v>40</v>
      </c>
      <c r="M484" s="589" t="s">
        <v>43</v>
      </c>
      <c r="N484" s="704">
        <v>7.5</v>
      </c>
      <c r="O484" s="571">
        <f t="shared" si="28"/>
        <v>52.5</v>
      </c>
    </row>
    <row r="485" spans="1:15" ht="18.75">
      <c r="A485" s="1127"/>
      <c r="B485" s="1127"/>
      <c r="C485" s="1127"/>
      <c r="D485" s="556" t="s">
        <v>954</v>
      </c>
      <c r="E485" s="155" t="s">
        <v>920</v>
      </c>
      <c r="F485" s="589">
        <v>15</v>
      </c>
      <c r="G485" s="589"/>
      <c r="H485" s="589" t="s">
        <v>782</v>
      </c>
      <c r="I485" s="704">
        <v>12000</v>
      </c>
      <c r="J485" s="695" t="s">
        <v>38</v>
      </c>
      <c r="K485" s="590" t="s">
        <v>39</v>
      </c>
      <c r="L485" s="590" t="s">
        <v>40</v>
      </c>
      <c r="M485" s="589" t="s">
        <v>43</v>
      </c>
      <c r="N485" s="704">
        <v>30</v>
      </c>
      <c r="O485" s="571">
        <f t="shared" si="28"/>
        <v>210</v>
      </c>
    </row>
    <row r="486" spans="1:15" ht="18.75">
      <c r="A486" s="1127"/>
      <c r="B486" s="1127"/>
      <c r="C486" s="1127"/>
      <c r="D486" s="556" t="s">
        <v>998</v>
      </c>
      <c r="E486" s="155" t="s">
        <v>922</v>
      </c>
      <c r="F486" s="589">
        <v>12000</v>
      </c>
      <c r="G486" s="589"/>
      <c r="H486" s="589" t="s">
        <v>782</v>
      </c>
      <c r="I486" s="704">
        <v>24000</v>
      </c>
      <c r="J486" s="695" t="s">
        <v>38</v>
      </c>
      <c r="K486" s="590" t="s">
        <v>39</v>
      </c>
      <c r="L486" s="590" t="s">
        <v>40</v>
      </c>
      <c r="M486" s="589" t="s">
        <v>43</v>
      </c>
      <c r="N486" s="704">
        <v>60</v>
      </c>
      <c r="O486" s="571">
        <f t="shared" si="28"/>
        <v>420</v>
      </c>
    </row>
    <row r="487" spans="1:15" ht="18.75">
      <c r="A487" s="1127"/>
      <c r="B487" s="1127"/>
      <c r="C487" s="1127"/>
      <c r="D487" s="556" t="s">
        <v>937</v>
      </c>
      <c r="E487" s="155" t="s">
        <v>707</v>
      </c>
      <c r="F487" s="589">
        <v>4000</v>
      </c>
      <c r="G487" s="589"/>
      <c r="H487" s="589" t="s">
        <v>782</v>
      </c>
      <c r="I487" s="704">
        <v>8000</v>
      </c>
      <c r="J487" s="695" t="s">
        <v>38</v>
      </c>
      <c r="K487" s="590" t="s">
        <v>39</v>
      </c>
      <c r="L487" s="590" t="s">
        <v>40</v>
      </c>
      <c r="M487" s="589" t="s">
        <v>43</v>
      </c>
      <c r="N487" s="704">
        <v>20</v>
      </c>
      <c r="O487" s="571">
        <f t="shared" si="28"/>
        <v>140</v>
      </c>
    </row>
    <row r="488" spans="1:15" ht="18.75">
      <c r="A488" s="1128"/>
      <c r="B488" s="1128"/>
      <c r="C488" s="1128"/>
      <c r="D488" s="556" t="s">
        <v>924</v>
      </c>
      <c r="E488" s="155" t="s">
        <v>812</v>
      </c>
      <c r="F488" s="589">
        <v>1</v>
      </c>
      <c r="G488" s="589"/>
      <c r="H488" s="589" t="s">
        <v>782</v>
      </c>
      <c r="I488" s="704">
        <v>30000</v>
      </c>
      <c r="J488" s="695" t="s">
        <v>38</v>
      </c>
      <c r="K488" s="590" t="s">
        <v>39</v>
      </c>
      <c r="L488" s="590" t="s">
        <v>40</v>
      </c>
      <c r="M488" s="589" t="s">
        <v>43</v>
      </c>
      <c r="N488" s="704">
        <v>0</v>
      </c>
      <c r="O488" s="571">
        <f t="shared" si="28"/>
        <v>0</v>
      </c>
    </row>
    <row r="489" spans="1:15" s="533" customFormat="1" ht="34.5" customHeight="1">
      <c r="A489" s="1076" t="s">
        <v>1063</v>
      </c>
      <c r="B489" s="1077"/>
      <c r="C489" s="1077"/>
      <c r="D489" s="1078"/>
      <c r="E489" s="729"/>
      <c r="F489" s="730"/>
      <c r="G489" s="730"/>
      <c r="H489" s="731"/>
      <c r="I489" s="732">
        <f>SUM(I482:I488)</f>
        <v>417000</v>
      </c>
      <c r="J489" s="732"/>
      <c r="K489" s="735"/>
      <c r="L489" s="732"/>
      <c r="M489" s="732"/>
      <c r="N489" s="732">
        <f>SUM(N482:N488)</f>
        <v>567.5</v>
      </c>
      <c r="O489" s="732">
        <f>SUM(O482:O488)</f>
        <v>3972.5</v>
      </c>
    </row>
    <row r="490" spans="1:15" ht="18.75">
      <c r="A490" s="1126" t="s">
        <v>783</v>
      </c>
      <c r="B490" s="1126" t="s">
        <v>999</v>
      </c>
      <c r="C490" s="1126" t="s">
        <v>969</v>
      </c>
      <c r="D490" s="556" t="s">
        <v>1000</v>
      </c>
      <c r="E490" s="155" t="s">
        <v>707</v>
      </c>
      <c r="F490" s="589">
        <v>16000</v>
      </c>
      <c r="G490" s="589"/>
      <c r="H490" s="589" t="s">
        <v>782</v>
      </c>
      <c r="I490" s="704">
        <v>80000</v>
      </c>
      <c r="J490" s="695" t="s">
        <v>38</v>
      </c>
      <c r="K490" s="590" t="s">
        <v>39</v>
      </c>
      <c r="L490" s="590" t="s">
        <v>40</v>
      </c>
      <c r="M490" s="589" t="s">
        <v>43</v>
      </c>
      <c r="N490" s="704">
        <v>200</v>
      </c>
      <c r="O490" s="571">
        <f t="shared" si="28"/>
        <v>1400</v>
      </c>
    </row>
    <row r="491" spans="1:15" ht="18.75">
      <c r="A491" s="1127"/>
      <c r="B491" s="1127"/>
      <c r="C491" s="1127"/>
      <c r="D491" s="556" t="s">
        <v>957</v>
      </c>
      <c r="E491" s="155" t="s">
        <v>707</v>
      </c>
      <c r="F491" s="589">
        <v>12000</v>
      </c>
      <c r="G491" s="589"/>
      <c r="H491" s="589" t="s">
        <v>782</v>
      </c>
      <c r="I491" s="704">
        <v>240000</v>
      </c>
      <c r="J491" s="695" t="s">
        <v>38</v>
      </c>
      <c r="K491" s="590" t="s">
        <v>39</v>
      </c>
      <c r="L491" s="590" t="s">
        <v>40</v>
      </c>
      <c r="M491" s="589" t="s">
        <v>43</v>
      </c>
      <c r="N491" s="704">
        <v>200</v>
      </c>
      <c r="O491" s="571">
        <f t="shared" si="28"/>
        <v>1400</v>
      </c>
    </row>
    <row r="492" spans="1:15" ht="18.75">
      <c r="A492" s="1127"/>
      <c r="B492" s="1127"/>
      <c r="C492" s="1127"/>
      <c r="D492" s="556" t="s">
        <v>949</v>
      </c>
      <c r="E492" s="155" t="s">
        <v>841</v>
      </c>
      <c r="F492" s="589">
        <v>300</v>
      </c>
      <c r="G492" s="589"/>
      <c r="H492" s="589" t="s">
        <v>782</v>
      </c>
      <c r="I492" s="704">
        <v>3000</v>
      </c>
      <c r="J492" s="695" t="s">
        <v>38</v>
      </c>
      <c r="K492" s="590" t="s">
        <v>39</v>
      </c>
      <c r="L492" s="590" t="s">
        <v>40</v>
      </c>
      <c r="M492" s="589" t="s">
        <v>43</v>
      </c>
      <c r="N492" s="704">
        <v>7.5</v>
      </c>
      <c r="O492" s="571">
        <f t="shared" si="28"/>
        <v>52.5</v>
      </c>
    </row>
    <row r="493" spans="1:15" ht="18.75">
      <c r="A493" s="1127"/>
      <c r="B493" s="1127"/>
      <c r="C493" s="1127"/>
      <c r="D493" s="556" t="s">
        <v>954</v>
      </c>
      <c r="E493" s="155" t="s">
        <v>920</v>
      </c>
      <c r="F493" s="589">
        <v>15</v>
      </c>
      <c r="G493" s="589"/>
      <c r="H493" s="589" t="s">
        <v>782</v>
      </c>
      <c r="I493" s="704">
        <v>12000</v>
      </c>
      <c r="J493" s="695" t="s">
        <v>38</v>
      </c>
      <c r="K493" s="590" t="s">
        <v>39</v>
      </c>
      <c r="L493" s="590" t="s">
        <v>40</v>
      </c>
      <c r="M493" s="589" t="s">
        <v>43</v>
      </c>
      <c r="N493" s="704">
        <v>30</v>
      </c>
      <c r="O493" s="571">
        <f t="shared" si="28"/>
        <v>210</v>
      </c>
    </row>
    <row r="494" spans="1:15" ht="18.75">
      <c r="A494" s="1127"/>
      <c r="B494" s="1127"/>
      <c r="C494" s="1127"/>
      <c r="D494" s="556" t="s">
        <v>921</v>
      </c>
      <c r="E494" s="155" t="s">
        <v>922</v>
      </c>
      <c r="F494" s="589">
        <v>10000</v>
      </c>
      <c r="G494" s="589"/>
      <c r="H494" s="589" t="s">
        <v>782</v>
      </c>
      <c r="I494" s="704">
        <v>20000</v>
      </c>
      <c r="J494" s="695" t="s">
        <v>38</v>
      </c>
      <c r="K494" s="590" t="s">
        <v>39</v>
      </c>
      <c r="L494" s="590" t="s">
        <v>40</v>
      </c>
      <c r="M494" s="589" t="s">
        <v>43</v>
      </c>
      <c r="N494" s="704">
        <v>50</v>
      </c>
      <c r="O494" s="571">
        <f t="shared" si="28"/>
        <v>350</v>
      </c>
    </row>
    <row r="495" spans="1:15" ht="18.75">
      <c r="A495" s="1127"/>
      <c r="B495" s="1127"/>
      <c r="C495" s="1127"/>
      <c r="D495" s="556" t="s">
        <v>923</v>
      </c>
      <c r="E495" s="155" t="s">
        <v>707</v>
      </c>
      <c r="F495" s="589">
        <v>2000</v>
      </c>
      <c r="G495" s="589"/>
      <c r="H495" s="589" t="s">
        <v>782</v>
      </c>
      <c r="I495" s="704">
        <v>4000</v>
      </c>
      <c r="J495" s="695" t="s">
        <v>38</v>
      </c>
      <c r="K495" s="590" t="s">
        <v>39</v>
      </c>
      <c r="L495" s="590" t="s">
        <v>40</v>
      </c>
      <c r="M495" s="589" t="s">
        <v>43</v>
      </c>
      <c r="N495" s="704">
        <v>10</v>
      </c>
      <c r="O495" s="571">
        <f t="shared" si="28"/>
        <v>70</v>
      </c>
    </row>
    <row r="496" spans="1:15" ht="18.75">
      <c r="A496" s="1128"/>
      <c r="B496" s="1128"/>
      <c r="C496" s="1128"/>
      <c r="D496" s="556" t="s">
        <v>924</v>
      </c>
      <c r="E496" s="155" t="s">
        <v>812</v>
      </c>
      <c r="F496" s="589">
        <v>1</v>
      </c>
      <c r="G496" s="589"/>
      <c r="H496" s="589" t="s">
        <v>782</v>
      </c>
      <c r="I496" s="704">
        <v>30000</v>
      </c>
      <c r="J496" s="695" t="s">
        <v>38</v>
      </c>
      <c r="K496" s="590" t="s">
        <v>39</v>
      </c>
      <c r="L496" s="590" t="s">
        <v>40</v>
      </c>
      <c r="M496" s="589" t="s">
        <v>43</v>
      </c>
      <c r="N496" s="704">
        <v>0</v>
      </c>
      <c r="O496" s="571">
        <f t="shared" si="28"/>
        <v>0</v>
      </c>
    </row>
    <row r="497" spans="1:15" s="533" customFormat="1" ht="34.5" customHeight="1">
      <c r="A497" s="1076" t="s">
        <v>1063</v>
      </c>
      <c r="B497" s="1077"/>
      <c r="C497" s="1077"/>
      <c r="D497" s="1078"/>
      <c r="E497" s="729"/>
      <c r="F497" s="730"/>
      <c r="G497" s="730"/>
      <c r="H497" s="731"/>
      <c r="I497" s="732">
        <f>SUM(I490:I496)</f>
        <v>389000</v>
      </c>
      <c r="J497" s="732"/>
      <c r="K497" s="735"/>
      <c r="L497" s="732"/>
      <c r="M497" s="732"/>
      <c r="N497" s="732">
        <f>SUM(N490:N496)</f>
        <v>497.5</v>
      </c>
      <c r="O497" s="732">
        <f>SUM(O490:O496)</f>
        <v>3482.5</v>
      </c>
    </row>
    <row r="498" spans="1:15" ht="18.75">
      <c r="A498" s="1126" t="s">
        <v>1001</v>
      </c>
      <c r="B498" s="1126" t="s">
        <v>1002</v>
      </c>
      <c r="C498" s="1126" t="s">
        <v>1003</v>
      </c>
      <c r="D498" s="556" t="s">
        <v>1004</v>
      </c>
      <c r="E498" s="155" t="s">
        <v>707</v>
      </c>
      <c r="F498" s="589">
        <v>30000</v>
      </c>
      <c r="G498" s="589"/>
      <c r="H498" s="589" t="s">
        <v>782</v>
      </c>
      <c r="I498" s="704">
        <v>150000</v>
      </c>
      <c r="J498" s="695" t="s">
        <v>38</v>
      </c>
      <c r="K498" s="590" t="s">
        <v>39</v>
      </c>
      <c r="L498" s="590" t="s">
        <v>40</v>
      </c>
      <c r="M498" s="589" t="s">
        <v>43</v>
      </c>
      <c r="N498" s="704">
        <v>375</v>
      </c>
      <c r="O498" s="571">
        <f t="shared" si="28"/>
        <v>2625</v>
      </c>
    </row>
    <row r="499" spans="1:15" ht="18.75">
      <c r="A499" s="1127"/>
      <c r="B499" s="1127"/>
      <c r="C499" s="1127"/>
      <c r="D499" s="556" t="s">
        <v>944</v>
      </c>
      <c r="E499" s="155" t="s">
        <v>707</v>
      </c>
      <c r="F499" s="589">
        <v>10000</v>
      </c>
      <c r="G499" s="589"/>
      <c r="H499" s="589" t="s">
        <v>782</v>
      </c>
      <c r="I499" s="704">
        <v>200000</v>
      </c>
      <c r="J499" s="695" t="s">
        <v>38</v>
      </c>
      <c r="K499" s="590" t="s">
        <v>39</v>
      </c>
      <c r="L499" s="590" t="s">
        <v>40</v>
      </c>
      <c r="M499" s="589" t="s">
        <v>43</v>
      </c>
      <c r="N499" s="704">
        <v>166.66666666666666</v>
      </c>
      <c r="O499" s="571">
        <f t="shared" si="28"/>
        <v>1166.6666666666665</v>
      </c>
    </row>
    <row r="500" spans="1:15" ht="18.75">
      <c r="A500" s="1127"/>
      <c r="B500" s="1127"/>
      <c r="C500" s="1127"/>
      <c r="D500" s="556" t="s">
        <v>949</v>
      </c>
      <c r="E500" s="155" t="s">
        <v>841</v>
      </c>
      <c r="F500" s="589">
        <v>300</v>
      </c>
      <c r="G500" s="589"/>
      <c r="H500" s="589" t="s">
        <v>782</v>
      </c>
      <c r="I500" s="704">
        <v>3000</v>
      </c>
      <c r="J500" s="695" t="s">
        <v>38</v>
      </c>
      <c r="K500" s="590" t="s">
        <v>39</v>
      </c>
      <c r="L500" s="590" t="s">
        <v>40</v>
      </c>
      <c r="M500" s="589" t="s">
        <v>43</v>
      </c>
      <c r="N500" s="704">
        <v>7.5</v>
      </c>
      <c r="O500" s="571">
        <f t="shared" si="28"/>
        <v>52.5</v>
      </c>
    </row>
    <row r="501" spans="1:15" ht="18.75">
      <c r="A501" s="1127"/>
      <c r="B501" s="1127"/>
      <c r="C501" s="1127"/>
      <c r="D501" s="556" t="s">
        <v>954</v>
      </c>
      <c r="E501" s="155" t="s">
        <v>920</v>
      </c>
      <c r="F501" s="589">
        <v>15</v>
      </c>
      <c r="G501" s="589"/>
      <c r="H501" s="589" t="s">
        <v>782</v>
      </c>
      <c r="I501" s="704">
        <v>12000</v>
      </c>
      <c r="J501" s="695" t="s">
        <v>38</v>
      </c>
      <c r="K501" s="590" t="s">
        <v>39</v>
      </c>
      <c r="L501" s="590" t="s">
        <v>40</v>
      </c>
      <c r="M501" s="589" t="s">
        <v>43</v>
      </c>
      <c r="N501" s="704">
        <v>30</v>
      </c>
      <c r="O501" s="571">
        <f t="shared" si="28"/>
        <v>210</v>
      </c>
    </row>
    <row r="502" spans="1:15" ht="18.75">
      <c r="A502" s="1127"/>
      <c r="B502" s="1127"/>
      <c r="C502" s="1127"/>
      <c r="D502" s="556" t="s">
        <v>921</v>
      </c>
      <c r="E502" s="155" t="s">
        <v>922</v>
      </c>
      <c r="F502" s="589">
        <v>10000</v>
      </c>
      <c r="G502" s="589"/>
      <c r="H502" s="589" t="s">
        <v>782</v>
      </c>
      <c r="I502" s="704">
        <v>20000</v>
      </c>
      <c r="J502" s="695" t="s">
        <v>38</v>
      </c>
      <c r="K502" s="590" t="s">
        <v>39</v>
      </c>
      <c r="L502" s="590" t="s">
        <v>40</v>
      </c>
      <c r="M502" s="589" t="s">
        <v>43</v>
      </c>
      <c r="N502" s="704">
        <v>50</v>
      </c>
      <c r="O502" s="571">
        <f t="shared" si="28"/>
        <v>350</v>
      </c>
    </row>
    <row r="503" spans="1:15" ht="18.75">
      <c r="A503" s="1127"/>
      <c r="B503" s="1127"/>
      <c r="C503" s="1127"/>
      <c r="D503" s="556" t="s">
        <v>937</v>
      </c>
      <c r="E503" s="155" t="s">
        <v>707</v>
      </c>
      <c r="F503" s="589">
        <v>4000</v>
      </c>
      <c r="G503" s="589"/>
      <c r="H503" s="589" t="s">
        <v>782</v>
      </c>
      <c r="I503" s="704">
        <v>8000</v>
      </c>
      <c r="J503" s="695" t="s">
        <v>38</v>
      </c>
      <c r="K503" s="590" t="s">
        <v>39</v>
      </c>
      <c r="L503" s="590" t="s">
        <v>40</v>
      </c>
      <c r="M503" s="589" t="s">
        <v>43</v>
      </c>
      <c r="N503" s="704">
        <v>20</v>
      </c>
      <c r="O503" s="571">
        <f t="shared" si="28"/>
        <v>140</v>
      </c>
    </row>
    <row r="504" spans="1:15" ht="18.75">
      <c r="A504" s="1128"/>
      <c r="B504" s="1128"/>
      <c r="C504" s="1128"/>
      <c r="D504" s="556" t="s">
        <v>924</v>
      </c>
      <c r="E504" s="155" t="s">
        <v>812</v>
      </c>
      <c r="F504" s="589">
        <v>1</v>
      </c>
      <c r="G504" s="589"/>
      <c r="H504" s="589" t="s">
        <v>782</v>
      </c>
      <c r="I504" s="704">
        <v>30000</v>
      </c>
      <c r="J504" s="695" t="s">
        <v>38</v>
      </c>
      <c r="K504" s="590" t="s">
        <v>39</v>
      </c>
      <c r="L504" s="590" t="s">
        <v>40</v>
      </c>
      <c r="M504" s="589" t="s">
        <v>43</v>
      </c>
      <c r="N504" s="704">
        <v>0</v>
      </c>
      <c r="O504" s="571">
        <f t="shared" si="28"/>
        <v>0</v>
      </c>
    </row>
    <row r="505" spans="1:15" s="533" customFormat="1" ht="34.5" customHeight="1">
      <c r="A505" s="1076" t="s">
        <v>1063</v>
      </c>
      <c r="B505" s="1077"/>
      <c r="C505" s="1077"/>
      <c r="D505" s="1078"/>
      <c r="E505" s="729"/>
      <c r="F505" s="730"/>
      <c r="G505" s="730"/>
      <c r="H505" s="731"/>
      <c r="I505" s="732">
        <f>SUM(I498:I504)</f>
        <v>423000</v>
      </c>
      <c r="J505" s="732"/>
      <c r="K505" s="735"/>
      <c r="L505" s="732"/>
      <c r="M505" s="732"/>
      <c r="N505" s="732">
        <f>SUM(N498:N504)</f>
        <v>649.16666666666663</v>
      </c>
      <c r="O505" s="732">
        <f>SUM(O498:O504)</f>
        <v>4544.1666666666661</v>
      </c>
    </row>
    <row r="506" spans="1:15" ht="18.75">
      <c r="A506" s="1126" t="s">
        <v>77</v>
      </c>
      <c r="B506" s="1126" t="s">
        <v>788</v>
      </c>
      <c r="C506" s="1126" t="s">
        <v>825</v>
      </c>
      <c r="D506" s="556" t="s">
        <v>1004</v>
      </c>
      <c r="E506" s="155" t="s">
        <v>707</v>
      </c>
      <c r="F506" s="589">
        <v>28000</v>
      </c>
      <c r="G506" s="589"/>
      <c r="H506" s="589" t="s">
        <v>782</v>
      </c>
      <c r="I506" s="704">
        <v>140000</v>
      </c>
      <c r="J506" s="695" t="s">
        <v>38</v>
      </c>
      <c r="K506" s="590" t="s">
        <v>39</v>
      </c>
      <c r="L506" s="590" t="s">
        <v>40</v>
      </c>
      <c r="M506" s="589" t="s">
        <v>43</v>
      </c>
      <c r="N506" s="704">
        <v>350</v>
      </c>
      <c r="O506" s="571">
        <f t="shared" si="28"/>
        <v>2450</v>
      </c>
    </row>
    <row r="507" spans="1:15" ht="15" customHeight="1">
      <c r="A507" s="1127"/>
      <c r="B507" s="1127"/>
      <c r="C507" s="1127"/>
      <c r="D507" s="556" t="s">
        <v>937</v>
      </c>
      <c r="E507" s="155" t="s">
        <v>707</v>
      </c>
      <c r="F507" s="589">
        <v>4000</v>
      </c>
      <c r="G507" s="589"/>
      <c r="H507" s="589" t="s">
        <v>782</v>
      </c>
      <c r="I507" s="704">
        <v>8000</v>
      </c>
      <c r="J507" s="695" t="s">
        <v>38</v>
      </c>
      <c r="K507" s="590" t="s">
        <v>39</v>
      </c>
      <c r="L507" s="590" t="s">
        <v>40</v>
      </c>
      <c r="M507" s="589" t="s">
        <v>43</v>
      </c>
      <c r="N507" s="704">
        <v>20</v>
      </c>
      <c r="O507" s="571">
        <f t="shared" si="28"/>
        <v>140</v>
      </c>
    </row>
    <row r="508" spans="1:15" ht="15" customHeight="1">
      <c r="A508" s="1127"/>
      <c r="B508" s="1127"/>
      <c r="C508" s="1127"/>
      <c r="D508" s="556" t="s">
        <v>957</v>
      </c>
      <c r="E508" s="155" t="s">
        <v>707</v>
      </c>
      <c r="F508" s="589">
        <v>12000</v>
      </c>
      <c r="G508" s="589"/>
      <c r="H508" s="589" t="s">
        <v>782</v>
      </c>
      <c r="I508" s="704">
        <v>240000</v>
      </c>
      <c r="J508" s="695" t="s">
        <v>38</v>
      </c>
      <c r="K508" s="590" t="s">
        <v>39</v>
      </c>
      <c r="L508" s="590" t="s">
        <v>40</v>
      </c>
      <c r="M508" s="589" t="s">
        <v>43</v>
      </c>
      <c r="N508" s="704">
        <v>600</v>
      </c>
      <c r="O508" s="571">
        <f t="shared" si="28"/>
        <v>4200</v>
      </c>
    </row>
    <row r="509" spans="1:15" ht="15" customHeight="1">
      <c r="A509" s="1127"/>
      <c r="B509" s="1127"/>
      <c r="C509" s="1127"/>
      <c r="D509" s="556" t="s">
        <v>992</v>
      </c>
      <c r="E509" s="155" t="s">
        <v>841</v>
      </c>
      <c r="F509" s="589">
        <v>300</v>
      </c>
      <c r="G509" s="589"/>
      <c r="H509" s="589" t="s">
        <v>782</v>
      </c>
      <c r="I509" s="704">
        <v>3000</v>
      </c>
      <c r="J509" s="695" t="s">
        <v>38</v>
      </c>
      <c r="K509" s="590" t="s">
        <v>39</v>
      </c>
      <c r="L509" s="590" t="s">
        <v>40</v>
      </c>
      <c r="M509" s="589" t="s">
        <v>43</v>
      </c>
      <c r="N509" s="704">
        <v>7.5</v>
      </c>
      <c r="O509" s="571">
        <f t="shared" si="28"/>
        <v>52.5</v>
      </c>
    </row>
    <row r="510" spans="1:15" ht="15" customHeight="1">
      <c r="A510" s="1127"/>
      <c r="B510" s="1127"/>
      <c r="C510" s="1127"/>
      <c r="D510" s="556" t="s">
        <v>954</v>
      </c>
      <c r="E510" s="155" t="s">
        <v>920</v>
      </c>
      <c r="F510" s="589">
        <v>15</v>
      </c>
      <c r="G510" s="589"/>
      <c r="H510" s="589" t="s">
        <v>782</v>
      </c>
      <c r="I510" s="704">
        <v>12000</v>
      </c>
      <c r="J510" s="695" t="s">
        <v>38</v>
      </c>
      <c r="K510" s="590" t="s">
        <v>39</v>
      </c>
      <c r="L510" s="590" t="s">
        <v>40</v>
      </c>
      <c r="M510" s="589" t="s">
        <v>43</v>
      </c>
      <c r="N510" s="704">
        <v>30</v>
      </c>
      <c r="O510" s="571">
        <f t="shared" si="28"/>
        <v>210</v>
      </c>
    </row>
    <row r="511" spans="1:15" ht="15" customHeight="1">
      <c r="A511" s="1127"/>
      <c r="B511" s="1127"/>
      <c r="C511" s="1127"/>
      <c r="D511" s="556" t="s">
        <v>958</v>
      </c>
      <c r="E511" s="155" t="s">
        <v>922</v>
      </c>
      <c r="F511" s="589">
        <v>20000</v>
      </c>
      <c r="G511" s="589"/>
      <c r="H511" s="589" t="s">
        <v>782</v>
      </c>
      <c r="I511" s="704">
        <v>40000</v>
      </c>
      <c r="J511" s="695" t="s">
        <v>38</v>
      </c>
      <c r="K511" s="590" t="s">
        <v>39</v>
      </c>
      <c r="L511" s="590" t="s">
        <v>40</v>
      </c>
      <c r="M511" s="589" t="s">
        <v>43</v>
      </c>
      <c r="N511" s="704">
        <v>100</v>
      </c>
      <c r="O511" s="571">
        <f t="shared" si="28"/>
        <v>700</v>
      </c>
    </row>
    <row r="512" spans="1:15" ht="15" customHeight="1">
      <c r="A512" s="1128"/>
      <c r="B512" s="1128"/>
      <c r="C512" s="1128"/>
      <c r="D512" s="556" t="s">
        <v>924</v>
      </c>
      <c r="E512" s="155" t="s">
        <v>812</v>
      </c>
      <c r="F512" s="589">
        <v>1</v>
      </c>
      <c r="G512" s="589"/>
      <c r="H512" s="589" t="s">
        <v>782</v>
      </c>
      <c r="I512" s="704">
        <v>30000</v>
      </c>
      <c r="J512" s="695" t="s">
        <v>38</v>
      </c>
      <c r="K512" s="590" t="s">
        <v>39</v>
      </c>
      <c r="L512" s="590" t="s">
        <v>40</v>
      </c>
      <c r="M512" s="589" t="s">
        <v>43</v>
      </c>
      <c r="N512" s="704">
        <v>0</v>
      </c>
      <c r="O512" s="571">
        <f t="shared" si="28"/>
        <v>0</v>
      </c>
    </row>
    <row r="513" spans="1:15" s="533" customFormat="1" ht="34.5" customHeight="1">
      <c r="A513" s="1076" t="s">
        <v>1063</v>
      </c>
      <c r="B513" s="1077"/>
      <c r="C513" s="1077"/>
      <c r="D513" s="1078"/>
      <c r="E513" s="729"/>
      <c r="F513" s="730"/>
      <c r="G513" s="730"/>
      <c r="H513" s="731"/>
      <c r="I513" s="732">
        <f>SUM(I506:I512)</f>
        <v>473000</v>
      </c>
      <c r="J513" s="732"/>
      <c r="K513" s="735"/>
      <c r="L513" s="732"/>
      <c r="M513" s="732"/>
      <c r="N513" s="732">
        <f>SUM(N506:N512)</f>
        <v>1107.5</v>
      </c>
      <c r="O513" s="732">
        <f>SUM(O506:O512)</f>
        <v>7752.5</v>
      </c>
    </row>
    <row r="514" spans="1:15" ht="18.75">
      <c r="A514" s="1126" t="s">
        <v>587</v>
      </c>
      <c r="B514" s="1126" t="s">
        <v>826</v>
      </c>
      <c r="C514" s="1126" t="s">
        <v>827</v>
      </c>
      <c r="D514" s="556" t="s">
        <v>1005</v>
      </c>
      <c r="E514" s="155" t="s">
        <v>707</v>
      </c>
      <c r="F514" s="589">
        <v>4000</v>
      </c>
      <c r="G514" s="589"/>
      <c r="H514" s="589" t="s">
        <v>782</v>
      </c>
      <c r="I514" s="704">
        <v>40000</v>
      </c>
      <c r="J514" s="695" t="s">
        <v>38</v>
      </c>
      <c r="K514" s="590" t="s">
        <v>39</v>
      </c>
      <c r="L514" s="589" t="s">
        <v>40</v>
      </c>
      <c r="M514" s="589" t="s">
        <v>43</v>
      </c>
      <c r="N514" s="704">
        <v>200</v>
      </c>
      <c r="O514" s="571">
        <f t="shared" si="28"/>
        <v>1400</v>
      </c>
    </row>
    <row r="515" spans="1:15" ht="18.75">
      <c r="A515" s="1127"/>
      <c r="B515" s="1127"/>
      <c r="C515" s="1127"/>
      <c r="D515" s="556" t="s">
        <v>953</v>
      </c>
      <c r="E515" s="155" t="s">
        <v>707</v>
      </c>
      <c r="F515" s="589">
        <v>2000</v>
      </c>
      <c r="G515" s="589"/>
      <c r="H515" s="589" t="s">
        <v>782</v>
      </c>
      <c r="I515" s="704">
        <v>80000</v>
      </c>
      <c r="J515" s="695" t="s">
        <v>38</v>
      </c>
      <c r="K515" s="590" t="s">
        <v>39</v>
      </c>
      <c r="L515" s="589" t="s">
        <v>40</v>
      </c>
      <c r="M515" s="589" t="s">
        <v>43</v>
      </c>
      <c r="N515" s="704">
        <v>10</v>
      </c>
      <c r="O515" s="571">
        <f t="shared" si="28"/>
        <v>70</v>
      </c>
    </row>
    <row r="516" spans="1:15" ht="18.75">
      <c r="A516" s="1127"/>
      <c r="B516" s="1127"/>
      <c r="C516" s="1127"/>
      <c r="D516" s="556" t="s">
        <v>923</v>
      </c>
      <c r="E516" s="155" t="s">
        <v>707</v>
      </c>
      <c r="F516" s="589">
        <v>300</v>
      </c>
      <c r="G516" s="589"/>
      <c r="H516" s="589" t="s">
        <v>782</v>
      </c>
      <c r="I516" s="704">
        <v>4000</v>
      </c>
      <c r="J516" s="695" t="s">
        <v>38</v>
      </c>
      <c r="K516" s="590" t="s">
        <v>39</v>
      </c>
      <c r="L516" s="589" t="s">
        <v>40</v>
      </c>
      <c r="M516" s="589" t="s">
        <v>43</v>
      </c>
      <c r="N516" s="704">
        <v>7.5</v>
      </c>
      <c r="O516" s="571">
        <f t="shared" si="28"/>
        <v>52.5</v>
      </c>
    </row>
    <row r="517" spans="1:15" ht="18.75">
      <c r="A517" s="1127"/>
      <c r="B517" s="1127"/>
      <c r="C517" s="1127"/>
      <c r="D517" s="556" t="s">
        <v>949</v>
      </c>
      <c r="E517" s="155" t="s">
        <v>841</v>
      </c>
      <c r="F517" s="589">
        <v>10</v>
      </c>
      <c r="G517" s="589"/>
      <c r="H517" s="589" t="s">
        <v>782</v>
      </c>
      <c r="I517" s="704">
        <v>3000</v>
      </c>
      <c r="J517" s="695" t="s">
        <v>38</v>
      </c>
      <c r="K517" s="590" t="s">
        <v>39</v>
      </c>
      <c r="L517" s="589" t="s">
        <v>40</v>
      </c>
      <c r="M517" s="589" t="s">
        <v>43</v>
      </c>
      <c r="N517" s="704">
        <v>20</v>
      </c>
      <c r="O517" s="571">
        <f t="shared" si="28"/>
        <v>140</v>
      </c>
    </row>
    <row r="518" spans="1:15" ht="18.75">
      <c r="A518" s="1127"/>
      <c r="B518" s="1127"/>
      <c r="C518" s="1127"/>
      <c r="D518" s="556" t="s">
        <v>970</v>
      </c>
      <c r="E518" s="155" t="s">
        <v>920</v>
      </c>
      <c r="F518" s="589">
        <v>10</v>
      </c>
      <c r="G518" s="589"/>
      <c r="H518" s="589" t="s">
        <v>782</v>
      </c>
      <c r="I518" s="704">
        <v>8000</v>
      </c>
      <c r="J518" s="695" t="s">
        <v>38</v>
      </c>
      <c r="K518" s="590" t="s">
        <v>39</v>
      </c>
      <c r="L518" s="589" t="s">
        <v>40</v>
      </c>
      <c r="M518" s="589" t="s">
        <v>43</v>
      </c>
      <c r="N518" s="704">
        <v>337.5</v>
      </c>
      <c r="O518" s="571">
        <f t="shared" si="28"/>
        <v>2362.5</v>
      </c>
    </row>
    <row r="519" spans="1:15" ht="18.75">
      <c r="A519" s="1128"/>
      <c r="B519" s="1128"/>
      <c r="C519" s="1128"/>
      <c r="D519" s="556" t="s">
        <v>924</v>
      </c>
      <c r="E519" s="155" t="s">
        <v>812</v>
      </c>
      <c r="F519" s="589">
        <v>1</v>
      </c>
      <c r="G519" s="589"/>
      <c r="H519" s="589" t="s">
        <v>782</v>
      </c>
      <c r="I519" s="704">
        <v>30000</v>
      </c>
      <c r="J519" s="695" t="s">
        <v>38</v>
      </c>
      <c r="K519" s="590" t="s">
        <v>39</v>
      </c>
      <c r="L519" s="589" t="s">
        <v>40</v>
      </c>
      <c r="M519" s="589" t="s">
        <v>43</v>
      </c>
      <c r="N519" s="704">
        <v>0</v>
      </c>
      <c r="O519" s="571">
        <f t="shared" si="28"/>
        <v>0</v>
      </c>
    </row>
    <row r="520" spans="1:15" s="533" customFormat="1" ht="34.5" customHeight="1">
      <c r="A520" s="1076" t="s">
        <v>1063</v>
      </c>
      <c r="B520" s="1077"/>
      <c r="C520" s="1077"/>
      <c r="D520" s="1078"/>
      <c r="E520" s="729"/>
      <c r="F520" s="730"/>
      <c r="G520" s="730"/>
      <c r="H520" s="731"/>
      <c r="I520" s="732">
        <f>SUM(I514:I519)</f>
        <v>165000</v>
      </c>
      <c r="J520" s="732"/>
      <c r="K520" s="735"/>
      <c r="L520" s="732"/>
      <c r="M520" s="732"/>
      <c r="N520" s="732">
        <f>SUM(N514:N519)</f>
        <v>575</v>
      </c>
      <c r="O520" s="732">
        <f>SUM(O514:O519)</f>
        <v>4025</v>
      </c>
    </row>
    <row r="521" spans="1:15" ht="18.75">
      <c r="A521" s="1132" t="s">
        <v>78</v>
      </c>
      <c r="B521" s="1132" t="s">
        <v>788</v>
      </c>
      <c r="C521" s="1132" t="s">
        <v>788</v>
      </c>
      <c r="D521" s="558" t="s">
        <v>1006</v>
      </c>
      <c r="E521" s="531" t="s">
        <v>707</v>
      </c>
      <c r="F521" s="588">
        <v>16000</v>
      </c>
      <c r="G521" s="588"/>
      <c r="H521" s="588" t="s">
        <v>782</v>
      </c>
      <c r="I521" s="704">
        <v>80000</v>
      </c>
      <c r="J521" s="694" t="s">
        <v>38</v>
      </c>
      <c r="K521" s="636" t="s">
        <v>39</v>
      </c>
      <c r="L521" s="436" t="s">
        <v>40</v>
      </c>
      <c r="M521" s="588" t="s">
        <v>43</v>
      </c>
      <c r="N521" s="704">
        <v>200</v>
      </c>
      <c r="O521" s="571">
        <f t="shared" si="28"/>
        <v>1400</v>
      </c>
    </row>
    <row r="522" spans="1:15" ht="18.75">
      <c r="A522" s="1133"/>
      <c r="B522" s="1133"/>
      <c r="C522" s="1133"/>
      <c r="D522" s="558" t="s">
        <v>923</v>
      </c>
      <c r="E522" s="531" t="s">
        <v>707</v>
      </c>
      <c r="F522" s="588">
        <v>2000</v>
      </c>
      <c r="G522" s="588"/>
      <c r="H522" s="588" t="s">
        <v>782</v>
      </c>
      <c r="I522" s="704">
        <v>4000</v>
      </c>
      <c r="J522" s="694" t="s">
        <v>38</v>
      </c>
      <c r="K522" s="636" t="s">
        <v>39</v>
      </c>
      <c r="L522" s="436" t="s">
        <v>40</v>
      </c>
      <c r="M522" s="588" t="s">
        <v>43</v>
      </c>
      <c r="N522" s="704">
        <v>10</v>
      </c>
      <c r="O522" s="571">
        <f t="shared" si="28"/>
        <v>70</v>
      </c>
    </row>
    <row r="523" spans="1:15" ht="18.75">
      <c r="A523" s="1133"/>
      <c r="B523" s="1133"/>
      <c r="C523" s="1133"/>
      <c r="D523" s="558" t="s">
        <v>957</v>
      </c>
      <c r="E523" s="531" t="s">
        <v>707</v>
      </c>
      <c r="F523" s="588">
        <v>12000</v>
      </c>
      <c r="G523" s="588"/>
      <c r="H523" s="588" t="s">
        <v>782</v>
      </c>
      <c r="I523" s="704">
        <v>240000</v>
      </c>
      <c r="J523" s="694" t="s">
        <v>38</v>
      </c>
      <c r="K523" s="636" t="s">
        <v>39</v>
      </c>
      <c r="L523" s="436" t="s">
        <v>40</v>
      </c>
      <c r="M523" s="588" t="s">
        <v>43</v>
      </c>
      <c r="N523" s="704">
        <v>200</v>
      </c>
      <c r="O523" s="571">
        <f t="shared" si="28"/>
        <v>1400</v>
      </c>
    </row>
    <row r="524" spans="1:15" ht="18.75">
      <c r="A524" s="1133"/>
      <c r="B524" s="1133"/>
      <c r="C524" s="1133"/>
      <c r="D524" s="558" t="s">
        <v>949</v>
      </c>
      <c r="E524" s="531" t="s">
        <v>841</v>
      </c>
      <c r="F524" s="588">
        <v>300</v>
      </c>
      <c r="G524" s="588"/>
      <c r="H524" s="588" t="s">
        <v>782</v>
      </c>
      <c r="I524" s="704">
        <v>3000</v>
      </c>
      <c r="J524" s="694" t="s">
        <v>38</v>
      </c>
      <c r="K524" s="636" t="s">
        <v>39</v>
      </c>
      <c r="L524" s="436" t="s">
        <v>40</v>
      </c>
      <c r="M524" s="588" t="s">
        <v>43</v>
      </c>
      <c r="N524" s="704">
        <v>7.5</v>
      </c>
      <c r="O524" s="571">
        <f t="shared" si="28"/>
        <v>52.5</v>
      </c>
    </row>
    <row r="525" spans="1:15" ht="18.75">
      <c r="A525" s="1133"/>
      <c r="B525" s="1133"/>
      <c r="C525" s="1133"/>
      <c r="D525" s="558" t="s">
        <v>970</v>
      </c>
      <c r="E525" s="531" t="s">
        <v>920</v>
      </c>
      <c r="F525" s="588">
        <v>12</v>
      </c>
      <c r="G525" s="588"/>
      <c r="H525" s="588" t="s">
        <v>782</v>
      </c>
      <c r="I525" s="704">
        <v>9600</v>
      </c>
      <c r="J525" s="694" t="s">
        <v>38</v>
      </c>
      <c r="K525" s="636" t="s">
        <v>39</v>
      </c>
      <c r="L525" s="436" t="s">
        <v>40</v>
      </c>
      <c r="M525" s="588" t="s">
        <v>43</v>
      </c>
      <c r="N525" s="704">
        <v>24</v>
      </c>
      <c r="O525" s="571">
        <f t="shared" si="28"/>
        <v>168</v>
      </c>
    </row>
    <row r="526" spans="1:15" ht="18.75">
      <c r="A526" s="1133"/>
      <c r="B526" s="1133"/>
      <c r="C526" s="1133"/>
      <c r="D526" s="558" t="s">
        <v>921</v>
      </c>
      <c r="E526" s="531" t="s">
        <v>922</v>
      </c>
      <c r="F526" s="588">
        <v>10000</v>
      </c>
      <c r="G526" s="588"/>
      <c r="H526" s="588" t="s">
        <v>782</v>
      </c>
      <c r="I526" s="704">
        <v>20000</v>
      </c>
      <c r="J526" s="694" t="s">
        <v>38</v>
      </c>
      <c r="K526" s="636" t="s">
        <v>39</v>
      </c>
      <c r="L526" s="436" t="s">
        <v>40</v>
      </c>
      <c r="M526" s="588" t="s">
        <v>43</v>
      </c>
      <c r="N526" s="704">
        <v>50</v>
      </c>
      <c r="O526" s="571">
        <f t="shared" si="28"/>
        <v>350</v>
      </c>
    </row>
    <row r="527" spans="1:15" ht="18.75">
      <c r="A527" s="1134"/>
      <c r="B527" s="1134"/>
      <c r="C527" s="1134"/>
      <c r="D527" s="556" t="s">
        <v>924</v>
      </c>
      <c r="E527" s="155" t="s">
        <v>812</v>
      </c>
      <c r="F527" s="589">
        <v>1</v>
      </c>
      <c r="G527" s="589"/>
      <c r="H527" s="589" t="s">
        <v>782</v>
      </c>
      <c r="I527" s="704">
        <v>30000</v>
      </c>
      <c r="J527" s="695" t="s">
        <v>38</v>
      </c>
      <c r="K527" s="590" t="s">
        <v>39</v>
      </c>
      <c r="L527" s="589" t="s">
        <v>40</v>
      </c>
      <c r="M527" s="589" t="s">
        <v>43</v>
      </c>
      <c r="N527" s="704">
        <v>0</v>
      </c>
      <c r="O527" s="571">
        <f t="shared" si="28"/>
        <v>0</v>
      </c>
    </row>
    <row r="528" spans="1:15" s="533" customFormat="1" ht="34.5" customHeight="1">
      <c r="A528" s="1076" t="s">
        <v>1063</v>
      </c>
      <c r="B528" s="1077"/>
      <c r="C528" s="1077"/>
      <c r="D528" s="1078"/>
      <c r="E528" s="729"/>
      <c r="F528" s="730"/>
      <c r="G528" s="730"/>
      <c r="H528" s="731"/>
      <c r="I528" s="732">
        <f>SUM(I521:I527)</f>
        <v>386600</v>
      </c>
      <c r="J528" s="732"/>
      <c r="K528" s="735"/>
      <c r="L528" s="732"/>
      <c r="M528" s="732"/>
      <c r="N528" s="732">
        <f>SUM(N521:N527)</f>
        <v>491.5</v>
      </c>
      <c r="O528" s="732">
        <f>SUM(O521:O527)</f>
        <v>3440.5</v>
      </c>
    </row>
    <row r="529" spans="1:15" ht="18.75">
      <c r="A529" s="1132" t="s">
        <v>34</v>
      </c>
      <c r="B529" s="1132" t="s">
        <v>828</v>
      </c>
      <c r="C529" s="1132" t="s">
        <v>788</v>
      </c>
      <c r="D529" s="558" t="s">
        <v>1007</v>
      </c>
      <c r="E529" s="531" t="s">
        <v>707</v>
      </c>
      <c r="F529" s="588">
        <v>14000</v>
      </c>
      <c r="G529" s="588"/>
      <c r="H529" s="588" t="s">
        <v>782</v>
      </c>
      <c r="I529" s="704">
        <v>70000</v>
      </c>
      <c r="J529" s="694" t="s">
        <v>38</v>
      </c>
      <c r="K529" s="636" t="s">
        <v>39</v>
      </c>
      <c r="L529" s="436" t="s">
        <v>40</v>
      </c>
      <c r="M529" s="588" t="s">
        <v>43</v>
      </c>
      <c r="N529" s="704">
        <v>175</v>
      </c>
      <c r="O529" s="571">
        <f t="shared" si="28"/>
        <v>1225</v>
      </c>
    </row>
    <row r="530" spans="1:15" ht="18.75">
      <c r="A530" s="1133"/>
      <c r="B530" s="1133"/>
      <c r="C530" s="1133"/>
      <c r="D530" s="558" t="s">
        <v>923</v>
      </c>
      <c r="E530" s="531" t="s">
        <v>707</v>
      </c>
      <c r="F530" s="588">
        <v>2000</v>
      </c>
      <c r="G530" s="588"/>
      <c r="H530" s="588" t="s">
        <v>782</v>
      </c>
      <c r="I530" s="704">
        <v>4000</v>
      </c>
      <c r="J530" s="694" t="s">
        <v>38</v>
      </c>
      <c r="K530" s="636" t="s">
        <v>39</v>
      </c>
      <c r="L530" s="436" t="s">
        <v>40</v>
      </c>
      <c r="M530" s="588" t="s">
        <v>43</v>
      </c>
      <c r="N530" s="704">
        <v>10</v>
      </c>
      <c r="O530" s="571">
        <f t="shared" si="28"/>
        <v>70</v>
      </c>
    </row>
    <row r="531" spans="1:15" ht="18.75">
      <c r="A531" s="1133"/>
      <c r="B531" s="1133"/>
      <c r="C531" s="1133"/>
      <c r="D531" s="558" t="s">
        <v>944</v>
      </c>
      <c r="E531" s="531" t="s">
        <v>707</v>
      </c>
      <c r="F531" s="588">
        <v>10000</v>
      </c>
      <c r="G531" s="588"/>
      <c r="H531" s="588" t="s">
        <v>782</v>
      </c>
      <c r="I531" s="704">
        <v>200000</v>
      </c>
      <c r="J531" s="694" t="s">
        <v>38</v>
      </c>
      <c r="K531" s="636" t="s">
        <v>39</v>
      </c>
      <c r="L531" s="436" t="s">
        <v>40</v>
      </c>
      <c r="M531" s="588" t="s">
        <v>43</v>
      </c>
      <c r="N531" s="704">
        <v>166.66666666666666</v>
      </c>
      <c r="O531" s="571">
        <f t="shared" ref="O531:O563" si="29">N531*7</f>
        <v>1166.6666666666665</v>
      </c>
    </row>
    <row r="532" spans="1:15" ht="18.75">
      <c r="A532" s="1133"/>
      <c r="B532" s="1133"/>
      <c r="C532" s="1133"/>
      <c r="D532" s="558" t="s">
        <v>1008</v>
      </c>
      <c r="E532" s="531" t="s">
        <v>841</v>
      </c>
      <c r="F532" s="588">
        <v>340</v>
      </c>
      <c r="G532" s="588"/>
      <c r="H532" s="588" t="s">
        <v>782</v>
      </c>
      <c r="I532" s="704">
        <v>3400</v>
      </c>
      <c r="J532" s="694" t="s">
        <v>38</v>
      </c>
      <c r="K532" s="636" t="s">
        <v>39</v>
      </c>
      <c r="L532" s="436" t="s">
        <v>40</v>
      </c>
      <c r="M532" s="588" t="s">
        <v>43</v>
      </c>
      <c r="N532" s="704">
        <v>8.5</v>
      </c>
      <c r="O532" s="571">
        <f t="shared" si="29"/>
        <v>59.5</v>
      </c>
    </row>
    <row r="533" spans="1:15" ht="18.75">
      <c r="A533" s="1133"/>
      <c r="B533" s="1133"/>
      <c r="C533" s="1133"/>
      <c r="D533" s="558" t="s">
        <v>919</v>
      </c>
      <c r="E533" s="531" t="s">
        <v>920</v>
      </c>
      <c r="F533" s="588">
        <v>12</v>
      </c>
      <c r="G533" s="588"/>
      <c r="H533" s="588" t="s">
        <v>782</v>
      </c>
      <c r="I533" s="704">
        <v>9600</v>
      </c>
      <c r="J533" s="694" t="s">
        <v>38</v>
      </c>
      <c r="K533" s="636" t="s">
        <v>39</v>
      </c>
      <c r="L533" s="436" t="s">
        <v>40</v>
      </c>
      <c r="M533" s="588" t="s">
        <v>43</v>
      </c>
      <c r="N533" s="704">
        <v>24</v>
      </c>
      <c r="O533" s="571">
        <f t="shared" si="29"/>
        <v>168</v>
      </c>
    </row>
    <row r="534" spans="1:15" ht="18.75">
      <c r="A534" s="1133"/>
      <c r="B534" s="1133"/>
      <c r="C534" s="1133"/>
      <c r="D534" s="558" t="s">
        <v>1009</v>
      </c>
      <c r="E534" s="531" t="s">
        <v>922</v>
      </c>
      <c r="F534" s="588">
        <v>10000</v>
      </c>
      <c r="G534" s="588"/>
      <c r="H534" s="588" t="s">
        <v>782</v>
      </c>
      <c r="I534" s="704">
        <v>20000</v>
      </c>
      <c r="J534" s="694" t="s">
        <v>38</v>
      </c>
      <c r="K534" s="636" t="s">
        <v>39</v>
      </c>
      <c r="L534" s="436" t="s">
        <v>40</v>
      </c>
      <c r="M534" s="588" t="s">
        <v>43</v>
      </c>
      <c r="N534" s="704">
        <v>50</v>
      </c>
      <c r="O534" s="571">
        <f t="shared" si="29"/>
        <v>350</v>
      </c>
    </row>
    <row r="535" spans="1:15" ht="18.75">
      <c r="A535" s="1134"/>
      <c r="B535" s="1134"/>
      <c r="C535" s="1134"/>
      <c r="D535" s="556" t="s">
        <v>924</v>
      </c>
      <c r="E535" s="155" t="s">
        <v>812</v>
      </c>
      <c r="F535" s="589">
        <v>1</v>
      </c>
      <c r="G535" s="589"/>
      <c r="H535" s="589" t="s">
        <v>782</v>
      </c>
      <c r="I535" s="704">
        <v>30000</v>
      </c>
      <c r="J535" s="695" t="s">
        <v>38</v>
      </c>
      <c r="K535" s="590" t="s">
        <v>39</v>
      </c>
      <c r="L535" s="589" t="s">
        <v>40</v>
      </c>
      <c r="M535" s="589" t="s">
        <v>43</v>
      </c>
      <c r="N535" s="704">
        <v>0</v>
      </c>
      <c r="O535" s="571">
        <f t="shared" si="29"/>
        <v>0</v>
      </c>
    </row>
    <row r="536" spans="1:15" s="533" customFormat="1" ht="34.5" customHeight="1">
      <c r="A536" s="1076" t="s">
        <v>1063</v>
      </c>
      <c r="B536" s="1077"/>
      <c r="C536" s="1077"/>
      <c r="D536" s="1078"/>
      <c r="E536" s="729"/>
      <c r="F536" s="730"/>
      <c r="G536" s="730"/>
      <c r="H536" s="731"/>
      <c r="I536" s="732">
        <f>SUM(I529:I535)</f>
        <v>337000</v>
      </c>
      <c r="J536" s="732"/>
      <c r="K536" s="735"/>
      <c r="L536" s="732"/>
      <c r="M536" s="732"/>
      <c r="N536" s="732">
        <f>SUM(N529:N535)</f>
        <v>434.16666666666663</v>
      </c>
      <c r="O536" s="732">
        <f>SUM(O529:O535)</f>
        <v>3039.1666666666665</v>
      </c>
    </row>
    <row r="537" spans="1:15" s="533" customFormat="1" ht="33.75" customHeight="1">
      <c r="A537" s="1097" t="s">
        <v>1064</v>
      </c>
      <c r="B537" s="1098"/>
      <c r="C537" s="1098"/>
      <c r="D537" s="1099"/>
      <c r="E537" s="737"/>
      <c r="F537" s="738"/>
      <c r="G537" s="738"/>
      <c r="H537" s="739"/>
      <c r="I537" s="755">
        <f>SUM(I536,I528,I520,I513,I505,I497,I489,I481,I473,I464,I456,I447,I439,I423,I416,I408,I398,I390,I382,I373,I365,I357,I348,I342,I334,I327,I319,I311)</f>
        <v>26601968</v>
      </c>
      <c r="J537" s="755">
        <f t="shared" ref="J537:O537" si="30">SUM(J536,J528,J520,J513,J505,J497,J489,J481,J473,J464,J456,J447,J439,J423,J416,J408,J398,J390,J382,J373,J365,J357,J348,J342,J334,J327,J319,J311)</f>
        <v>0</v>
      </c>
      <c r="K537" s="818">
        <f t="shared" si="30"/>
        <v>0</v>
      </c>
      <c r="L537" s="755">
        <f t="shared" si="30"/>
        <v>0</v>
      </c>
      <c r="M537" s="755">
        <f t="shared" si="30"/>
        <v>0</v>
      </c>
      <c r="N537" s="755">
        <f t="shared" si="30"/>
        <v>24385.238749999997</v>
      </c>
      <c r="O537" s="755">
        <f t="shared" si="30"/>
        <v>167465.00458333333</v>
      </c>
    </row>
    <row r="538" spans="1:15" s="756" customFormat="1" ht="48" customHeight="1">
      <c r="A538" s="1085" t="s">
        <v>852</v>
      </c>
      <c r="B538" s="1086"/>
      <c r="C538" s="1086"/>
      <c r="D538" s="1086"/>
      <c r="E538" s="1086"/>
      <c r="F538" s="1086"/>
      <c r="G538" s="1086"/>
      <c r="H538" s="1086"/>
      <c r="I538" s="1086"/>
      <c r="J538" s="1086"/>
      <c r="K538" s="1086"/>
      <c r="L538" s="1086"/>
      <c r="M538" s="1086"/>
      <c r="N538" s="1086"/>
      <c r="O538" s="1086">
        <f t="shared" si="29"/>
        <v>0</v>
      </c>
    </row>
    <row r="539" spans="1:15" ht="47.25" customHeight="1">
      <c r="A539" s="559" t="s">
        <v>13</v>
      </c>
      <c r="B539" s="559" t="s">
        <v>14</v>
      </c>
      <c r="C539" s="559" t="s">
        <v>15</v>
      </c>
      <c r="D539" s="808" t="s">
        <v>16</v>
      </c>
      <c r="E539" s="489" t="s">
        <v>17</v>
      </c>
      <c r="F539" s="592" t="s">
        <v>18</v>
      </c>
      <c r="G539" s="592" t="s">
        <v>330</v>
      </c>
      <c r="H539" s="592" t="s">
        <v>575</v>
      </c>
      <c r="I539" s="705" t="s">
        <v>763</v>
      </c>
      <c r="J539" s="696" t="s">
        <v>19</v>
      </c>
      <c r="K539" s="592" t="s">
        <v>20</v>
      </c>
      <c r="L539" s="592" t="s">
        <v>21</v>
      </c>
      <c r="M539" s="593" t="s">
        <v>22</v>
      </c>
      <c r="N539" s="593" t="s">
        <v>1058</v>
      </c>
      <c r="O539" s="593" t="s">
        <v>1058</v>
      </c>
    </row>
    <row r="540" spans="1:15" ht="47.25" customHeight="1">
      <c r="A540" s="1103" t="s">
        <v>41</v>
      </c>
      <c r="B540" s="474" t="s">
        <v>831</v>
      </c>
      <c r="C540" s="474" t="s">
        <v>832</v>
      </c>
      <c r="D540" s="549" t="s">
        <v>835</v>
      </c>
      <c r="E540" s="490" t="s">
        <v>28</v>
      </c>
      <c r="F540" s="510">
        <v>4</v>
      </c>
      <c r="G540" s="510">
        <v>32000</v>
      </c>
      <c r="H540" s="510" t="s">
        <v>782</v>
      </c>
      <c r="I540" s="13">
        <v>288000</v>
      </c>
      <c r="J540" s="697" t="s">
        <v>836</v>
      </c>
      <c r="K540" s="510" t="s">
        <v>837</v>
      </c>
      <c r="L540" s="510" t="s">
        <v>834</v>
      </c>
      <c r="M540" s="594" t="s">
        <v>838</v>
      </c>
      <c r="N540" s="13">
        <f>4*360</f>
        <v>1440</v>
      </c>
      <c r="O540" s="571">
        <f t="shared" si="29"/>
        <v>10080</v>
      </c>
    </row>
    <row r="541" spans="1:15" ht="42.75" customHeight="1">
      <c r="A541" s="1104"/>
      <c r="B541" s="474" t="s">
        <v>831</v>
      </c>
      <c r="C541" s="474" t="s">
        <v>832</v>
      </c>
      <c r="D541" s="549" t="s">
        <v>839</v>
      </c>
      <c r="E541" s="490" t="s">
        <v>28</v>
      </c>
      <c r="F541" s="510">
        <v>10</v>
      </c>
      <c r="G541" s="510">
        <v>80000</v>
      </c>
      <c r="H541" s="510" t="s">
        <v>782</v>
      </c>
      <c r="I541" s="13">
        <v>720000</v>
      </c>
      <c r="J541" s="697" t="s">
        <v>836</v>
      </c>
      <c r="K541" s="510" t="s">
        <v>837</v>
      </c>
      <c r="L541" s="510" t="s">
        <v>834</v>
      </c>
      <c r="M541" s="594" t="s">
        <v>838</v>
      </c>
      <c r="N541" s="13">
        <f>4*360</f>
        <v>1440</v>
      </c>
      <c r="O541" s="571">
        <f t="shared" si="29"/>
        <v>10080</v>
      </c>
    </row>
    <row r="542" spans="1:15" ht="47.25" customHeight="1">
      <c r="A542" s="1104"/>
      <c r="B542" s="474" t="s">
        <v>831</v>
      </c>
      <c r="C542" s="474" t="s">
        <v>832</v>
      </c>
      <c r="D542" s="809" t="s">
        <v>840</v>
      </c>
      <c r="E542" s="491" t="s">
        <v>841</v>
      </c>
      <c r="F542" s="595">
        <v>1000</v>
      </c>
      <c r="G542" s="595">
        <v>2500</v>
      </c>
      <c r="H542" s="595" t="s">
        <v>782</v>
      </c>
      <c r="I542" s="714">
        <v>2500000</v>
      </c>
      <c r="J542" s="698" t="s">
        <v>580</v>
      </c>
      <c r="K542" s="595" t="s">
        <v>833</v>
      </c>
      <c r="L542" s="510" t="s">
        <v>834</v>
      </c>
      <c r="M542" s="595" t="s">
        <v>838</v>
      </c>
      <c r="N542" s="13">
        <v>1400</v>
      </c>
      <c r="O542" s="571">
        <f t="shared" si="29"/>
        <v>9800</v>
      </c>
    </row>
    <row r="543" spans="1:15" ht="47.25" customHeight="1">
      <c r="A543" s="1105"/>
      <c r="B543" s="474" t="s">
        <v>831</v>
      </c>
      <c r="C543" s="474" t="s">
        <v>832</v>
      </c>
      <c r="D543" s="809" t="s">
        <v>842</v>
      </c>
      <c r="E543" s="491" t="s">
        <v>843</v>
      </c>
      <c r="F543" s="595">
        <v>1</v>
      </c>
      <c r="G543" s="595">
        <v>2147680</v>
      </c>
      <c r="H543" s="595" t="s">
        <v>782</v>
      </c>
      <c r="I543" s="13">
        <v>2147680</v>
      </c>
      <c r="J543" s="697"/>
      <c r="K543" s="510" t="s">
        <v>837</v>
      </c>
      <c r="L543" s="510" t="s">
        <v>834</v>
      </c>
      <c r="M543" s="594" t="s">
        <v>844</v>
      </c>
      <c r="N543" s="13">
        <v>50</v>
      </c>
      <c r="O543" s="571">
        <f t="shared" si="29"/>
        <v>350</v>
      </c>
    </row>
    <row r="544" spans="1:15" s="533" customFormat="1" ht="34.5" customHeight="1">
      <c r="A544" s="1076" t="s">
        <v>1062</v>
      </c>
      <c r="B544" s="1077" t="s">
        <v>773</v>
      </c>
      <c r="C544" s="1077"/>
      <c r="D544" s="1078"/>
      <c r="E544" s="729"/>
      <c r="F544" s="730"/>
      <c r="G544" s="730"/>
      <c r="H544" s="731"/>
      <c r="I544" s="732">
        <f>SUM(I540:I543)</f>
        <v>5655680</v>
      </c>
      <c r="J544" s="732"/>
      <c r="K544" s="735"/>
      <c r="L544" s="732"/>
      <c r="M544" s="732"/>
      <c r="N544" s="732">
        <f>SUM(N540:N543)</f>
        <v>4330</v>
      </c>
      <c r="O544" s="732">
        <f>SUM(O540:O543)</f>
        <v>30310</v>
      </c>
    </row>
    <row r="545" spans="1:15" ht="47.25" customHeight="1">
      <c r="A545" s="559" t="s">
        <v>13</v>
      </c>
      <c r="B545" s="559" t="s">
        <v>14</v>
      </c>
      <c r="C545" s="559" t="s">
        <v>15</v>
      </c>
      <c r="D545" s="808" t="s">
        <v>16</v>
      </c>
      <c r="E545" s="489" t="s">
        <v>17</v>
      </c>
      <c r="F545" s="592" t="s">
        <v>18</v>
      </c>
      <c r="G545" s="592" t="s">
        <v>330</v>
      </c>
      <c r="H545" s="592" t="s">
        <v>575</v>
      </c>
      <c r="I545" s="705" t="s">
        <v>763</v>
      </c>
      <c r="J545" s="696" t="s">
        <v>19</v>
      </c>
      <c r="K545" s="592" t="s">
        <v>20</v>
      </c>
      <c r="L545" s="592" t="s">
        <v>21</v>
      </c>
      <c r="M545" s="593" t="s">
        <v>22</v>
      </c>
      <c r="N545" s="593" t="s">
        <v>1058</v>
      </c>
      <c r="O545" s="593" t="s">
        <v>1058</v>
      </c>
    </row>
    <row r="546" spans="1:15" ht="47.25" customHeight="1">
      <c r="A546" s="1103" t="s">
        <v>47</v>
      </c>
      <c r="B546" s="474" t="s">
        <v>845</v>
      </c>
      <c r="C546" s="474" t="s">
        <v>846</v>
      </c>
      <c r="D546" s="549" t="s">
        <v>847</v>
      </c>
      <c r="E546" s="490" t="s">
        <v>28</v>
      </c>
      <c r="F546" s="510">
        <v>1</v>
      </c>
      <c r="G546" s="510">
        <v>12000</v>
      </c>
      <c r="H546" s="510" t="s">
        <v>782</v>
      </c>
      <c r="I546" s="13">
        <v>108000</v>
      </c>
      <c r="J546" s="697" t="s">
        <v>848</v>
      </c>
      <c r="K546" s="510" t="s">
        <v>837</v>
      </c>
      <c r="L546" s="510" t="s">
        <v>834</v>
      </c>
      <c r="M546" s="594" t="s">
        <v>838</v>
      </c>
      <c r="N546" s="13">
        <f>1*360</f>
        <v>360</v>
      </c>
      <c r="O546" s="571">
        <f t="shared" si="29"/>
        <v>2520</v>
      </c>
    </row>
    <row r="547" spans="1:15" ht="47.25" customHeight="1">
      <c r="A547" s="1104"/>
      <c r="B547" s="474" t="s">
        <v>845</v>
      </c>
      <c r="C547" s="474" t="s">
        <v>846</v>
      </c>
      <c r="D547" s="549" t="s">
        <v>839</v>
      </c>
      <c r="E547" s="490" t="s">
        <v>28</v>
      </c>
      <c r="F547" s="510">
        <v>15</v>
      </c>
      <c r="G547" s="510">
        <v>8000</v>
      </c>
      <c r="H547" s="510" t="s">
        <v>782</v>
      </c>
      <c r="I547" s="13">
        <v>1080000</v>
      </c>
      <c r="J547" s="697" t="s">
        <v>848</v>
      </c>
      <c r="K547" s="510" t="s">
        <v>837</v>
      </c>
      <c r="L547" s="510" t="s">
        <v>834</v>
      </c>
      <c r="M547" s="594" t="s">
        <v>838</v>
      </c>
      <c r="N547" s="13">
        <f>1*360</f>
        <v>360</v>
      </c>
      <c r="O547" s="571">
        <f t="shared" si="29"/>
        <v>2520</v>
      </c>
    </row>
    <row r="548" spans="1:15" s="533" customFormat="1" ht="34.5" customHeight="1">
      <c r="A548" s="1076" t="s">
        <v>1062</v>
      </c>
      <c r="B548" s="1077" t="s">
        <v>773</v>
      </c>
      <c r="C548" s="1077"/>
      <c r="D548" s="1078"/>
      <c r="E548" s="729"/>
      <c r="F548" s="730"/>
      <c r="G548" s="730"/>
      <c r="H548" s="731"/>
      <c r="I548" s="732">
        <f>SUM(I546:I547)</f>
        <v>1188000</v>
      </c>
      <c r="J548" s="732"/>
      <c r="K548" s="735"/>
      <c r="L548" s="732"/>
      <c r="M548" s="732"/>
      <c r="N548" s="732">
        <f>SUM(N546:N547)</f>
        <v>720</v>
      </c>
      <c r="O548" s="732">
        <f>SUM(O546:O547)</f>
        <v>5040</v>
      </c>
    </row>
    <row r="549" spans="1:15" ht="47.25" customHeight="1">
      <c r="A549" s="559" t="s">
        <v>13</v>
      </c>
      <c r="B549" s="559" t="s">
        <v>14</v>
      </c>
      <c r="C549" s="559" t="s">
        <v>15</v>
      </c>
      <c r="D549" s="808" t="s">
        <v>16</v>
      </c>
      <c r="E549" s="489" t="s">
        <v>17</v>
      </c>
      <c r="F549" s="592" t="s">
        <v>18</v>
      </c>
      <c r="G549" s="592" t="s">
        <v>330</v>
      </c>
      <c r="H549" s="592" t="s">
        <v>575</v>
      </c>
      <c r="I549" s="705" t="s">
        <v>774</v>
      </c>
      <c r="J549" s="696" t="s">
        <v>19</v>
      </c>
      <c r="K549" s="592" t="s">
        <v>20</v>
      </c>
      <c r="L549" s="592" t="s">
        <v>21</v>
      </c>
      <c r="M549" s="593" t="s">
        <v>22</v>
      </c>
      <c r="N549" s="593" t="s">
        <v>1058</v>
      </c>
      <c r="O549" s="593" t="s">
        <v>1058</v>
      </c>
    </row>
    <row r="550" spans="1:15" ht="47.25" customHeight="1">
      <c r="A550" s="679" t="s">
        <v>906</v>
      </c>
      <c r="B550" s="474" t="s">
        <v>850</v>
      </c>
      <c r="C550" s="474" t="s">
        <v>849</v>
      </c>
      <c r="D550" s="549" t="s">
        <v>839</v>
      </c>
      <c r="E550" s="490" t="s">
        <v>28</v>
      </c>
      <c r="F550" s="510">
        <v>9</v>
      </c>
      <c r="G550" s="510">
        <v>9115</v>
      </c>
      <c r="H550" s="510" t="s">
        <v>782</v>
      </c>
      <c r="I550" s="13">
        <f>G550*F550*12</f>
        <v>984420</v>
      </c>
      <c r="J550" s="697" t="s">
        <v>836</v>
      </c>
      <c r="K550" s="510" t="s">
        <v>837</v>
      </c>
      <c r="L550" s="510" t="s">
        <v>834</v>
      </c>
      <c r="M550" s="594" t="s">
        <v>851</v>
      </c>
      <c r="N550" s="13">
        <f>9*360</f>
        <v>3240</v>
      </c>
      <c r="O550" s="571">
        <f t="shared" si="29"/>
        <v>22680</v>
      </c>
    </row>
    <row r="551" spans="1:15" s="533" customFormat="1" ht="34.5" customHeight="1">
      <c r="A551" s="1076" t="s">
        <v>1062</v>
      </c>
      <c r="B551" s="1077" t="s">
        <v>773</v>
      </c>
      <c r="C551" s="1077"/>
      <c r="D551" s="1078"/>
      <c r="E551" s="729"/>
      <c r="F551" s="730"/>
      <c r="G551" s="820"/>
      <c r="H551" s="731"/>
      <c r="I551" s="732">
        <f>SUM(I550)</f>
        <v>984420</v>
      </c>
      <c r="J551" s="732"/>
      <c r="K551" s="735"/>
      <c r="L551" s="732"/>
      <c r="M551" s="732"/>
      <c r="N551" s="732">
        <f>SUM(N550)</f>
        <v>3240</v>
      </c>
      <c r="O551" s="732">
        <f>SUM(O550)</f>
        <v>22680</v>
      </c>
    </row>
    <row r="552" spans="1:15" s="533" customFormat="1" ht="33.75" customHeight="1">
      <c r="A552" s="1097" t="s">
        <v>907</v>
      </c>
      <c r="B552" s="1098"/>
      <c r="C552" s="1098"/>
      <c r="D552" s="1099"/>
      <c r="E552" s="737"/>
      <c r="F552" s="738"/>
      <c r="G552" s="738"/>
      <c r="H552" s="739"/>
      <c r="I552" s="755">
        <f>SUM(I544+I548+I551)</f>
        <v>7828100</v>
      </c>
      <c r="J552" s="755">
        <f t="shared" ref="J552:O552" si="31">SUM(J544+J548+J551)</f>
        <v>0</v>
      </c>
      <c r="K552" s="755">
        <f t="shared" si="31"/>
        <v>0</v>
      </c>
      <c r="L552" s="755">
        <f t="shared" si="31"/>
        <v>0</v>
      </c>
      <c r="M552" s="755">
        <f t="shared" si="31"/>
        <v>0</v>
      </c>
      <c r="N552" s="755">
        <f t="shared" si="31"/>
        <v>8290</v>
      </c>
      <c r="O552" s="755">
        <f t="shared" si="31"/>
        <v>58030</v>
      </c>
    </row>
    <row r="553" spans="1:15" ht="35.25" customHeight="1">
      <c r="A553" s="1145" t="s">
        <v>1065</v>
      </c>
      <c r="B553" s="1146"/>
      <c r="C553" s="1146"/>
      <c r="D553" s="1146"/>
      <c r="E553" s="1146"/>
      <c r="F553" s="1146"/>
      <c r="G553" s="1146"/>
      <c r="H553" s="1146"/>
      <c r="I553" s="1146"/>
      <c r="J553" s="1146"/>
      <c r="K553" s="1146"/>
      <c r="L553" s="1146"/>
      <c r="M553" s="1146"/>
      <c r="N553" s="1146"/>
      <c r="O553" s="1147"/>
    </row>
    <row r="554" spans="1:15" ht="46.5" customHeight="1">
      <c r="A554" s="560" t="s">
        <v>23</v>
      </c>
      <c r="B554" s="560" t="s">
        <v>23</v>
      </c>
      <c r="C554" s="560" t="s">
        <v>23</v>
      </c>
      <c r="D554" s="472" t="s">
        <v>865</v>
      </c>
      <c r="E554" s="462" t="s">
        <v>24</v>
      </c>
      <c r="F554" s="596">
        <v>1</v>
      </c>
      <c r="G554" s="596"/>
      <c r="H554" s="596"/>
      <c r="I554" s="715">
        <f>104000*12</f>
        <v>1248000</v>
      </c>
      <c r="J554" s="697" t="s">
        <v>836</v>
      </c>
      <c r="K554" s="510" t="s">
        <v>837</v>
      </c>
      <c r="L554" s="510" t="s">
        <v>834</v>
      </c>
      <c r="M554" s="597"/>
      <c r="N554" s="515">
        <v>0</v>
      </c>
      <c r="O554" s="571">
        <f t="shared" si="29"/>
        <v>0</v>
      </c>
    </row>
    <row r="555" spans="1:15" ht="45" customHeight="1">
      <c r="A555" s="560" t="s">
        <v>23</v>
      </c>
      <c r="B555" s="560" t="s">
        <v>23</v>
      </c>
      <c r="C555" s="560" t="s">
        <v>23</v>
      </c>
      <c r="D555" s="472" t="s">
        <v>1056</v>
      </c>
      <c r="E555" s="462"/>
      <c r="F555" s="596"/>
      <c r="G555" s="596"/>
      <c r="H555" s="596"/>
      <c r="I555" s="715">
        <f>10*83111+252000.3</f>
        <v>1083110.3</v>
      </c>
      <c r="J555" s="697" t="s">
        <v>836</v>
      </c>
      <c r="K555" s="510" t="s">
        <v>837</v>
      </c>
      <c r="L555" s="510" t="s">
        <v>834</v>
      </c>
      <c r="M555" s="597"/>
      <c r="N555" s="515"/>
      <c r="O555" s="571">
        <f t="shared" si="29"/>
        <v>0</v>
      </c>
    </row>
    <row r="556" spans="1:15" s="533" customFormat="1" ht="33.75" customHeight="1">
      <c r="A556" s="1097" t="s">
        <v>1062</v>
      </c>
      <c r="B556" s="1098" t="s">
        <v>773</v>
      </c>
      <c r="C556" s="1098"/>
      <c r="D556" s="1099"/>
      <c r="E556" s="737"/>
      <c r="F556" s="738"/>
      <c r="G556" s="738"/>
      <c r="H556" s="739"/>
      <c r="I556" s="755">
        <f>SUM(I554:I555)</f>
        <v>2331110.2999999998</v>
      </c>
      <c r="J556" s="755"/>
      <c r="K556" s="755"/>
      <c r="L556" s="755"/>
      <c r="M556" s="755"/>
      <c r="N556" s="755"/>
      <c r="O556" s="755"/>
    </row>
    <row r="557" spans="1:15" ht="55.5" customHeight="1">
      <c r="A557" s="1148" t="s">
        <v>1193</v>
      </c>
      <c r="B557" s="1149"/>
      <c r="C557" s="1149"/>
      <c r="D557" s="1149"/>
      <c r="E557" s="1149"/>
      <c r="F557" s="1149"/>
      <c r="G557" s="1149"/>
      <c r="H557" s="1149"/>
      <c r="I557" s="1149"/>
      <c r="J557" s="1149"/>
      <c r="K557" s="1149"/>
      <c r="L557" s="1149"/>
      <c r="M557" s="1149"/>
      <c r="N557" s="1149"/>
      <c r="O557" s="1150"/>
    </row>
    <row r="558" spans="1:15" ht="36" customHeight="1">
      <c r="A558" s="1154" t="s">
        <v>1051</v>
      </c>
      <c r="B558" s="1155"/>
      <c r="C558" s="1156"/>
      <c r="D558" s="1087" t="s">
        <v>855</v>
      </c>
      <c r="E558" s="1088"/>
      <c r="F558" s="1089"/>
      <c r="G558" s="680" t="s">
        <v>574</v>
      </c>
      <c r="H558" s="680"/>
      <c r="I558" s="716" t="s">
        <v>19</v>
      </c>
      <c r="J558" s="1139" t="s">
        <v>20</v>
      </c>
      <c r="K558" s="1140"/>
      <c r="L558" s="598"/>
      <c r="M558" s="598"/>
      <c r="N558" s="700" t="s">
        <v>1058</v>
      </c>
      <c r="O558" s="700" t="s">
        <v>1058</v>
      </c>
    </row>
    <row r="559" spans="1:15" ht="47.25" customHeight="1">
      <c r="A559" s="768" t="s">
        <v>82</v>
      </c>
      <c r="B559" s="1090" t="s">
        <v>83</v>
      </c>
      <c r="C559" s="1091"/>
      <c r="D559" s="1094">
        <f>I69</f>
        <v>13770000</v>
      </c>
      <c r="E559" s="1095"/>
      <c r="F559" s="1096"/>
      <c r="G559" s="821">
        <f>D559/68.34</f>
        <v>201492.53731343284</v>
      </c>
      <c r="H559" s="522"/>
      <c r="I559" s="717" t="s">
        <v>377</v>
      </c>
      <c r="J559" s="1141" t="s">
        <v>592</v>
      </c>
      <c r="K559" s="1142"/>
      <c r="L559" s="599"/>
      <c r="M559" s="599"/>
      <c r="N559" s="706">
        <f>N69</f>
        <v>35205</v>
      </c>
      <c r="O559" s="706">
        <f>O69</f>
        <v>246435</v>
      </c>
    </row>
    <row r="560" spans="1:15" ht="37.5" customHeight="1">
      <c r="A560" s="768" t="s">
        <v>84</v>
      </c>
      <c r="B560" s="1090" t="s">
        <v>85</v>
      </c>
      <c r="C560" s="1091"/>
      <c r="D560" s="1094">
        <f>I301</f>
        <v>17808821.333333336</v>
      </c>
      <c r="E560" s="1095"/>
      <c r="F560" s="1096"/>
      <c r="G560" s="821">
        <f t="shared" ref="G560:G563" si="32">D560/68.34</f>
        <v>260591.47400253636</v>
      </c>
      <c r="H560" s="522"/>
      <c r="I560" s="717" t="s">
        <v>377</v>
      </c>
      <c r="J560" s="1141" t="s">
        <v>592</v>
      </c>
      <c r="K560" s="1142"/>
      <c r="L560" s="599"/>
      <c r="M560" s="599"/>
      <c r="N560" s="706">
        <f>N301</f>
        <v>28295.333333333336</v>
      </c>
      <c r="O560" s="706">
        <f>O301</f>
        <v>198067.33333333334</v>
      </c>
    </row>
    <row r="561" spans="1:15" ht="38.25" customHeight="1">
      <c r="A561" s="768" t="s">
        <v>555</v>
      </c>
      <c r="B561" s="1090" t="s">
        <v>86</v>
      </c>
      <c r="C561" s="1091"/>
      <c r="D561" s="1094">
        <f>I537</f>
        <v>26601968</v>
      </c>
      <c r="E561" s="1095"/>
      <c r="F561" s="1096"/>
      <c r="G561" s="821">
        <f t="shared" si="32"/>
        <v>389259.11618378694</v>
      </c>
      <c r="H561" s="522"/>
      <c r="I561" s="717" t="s">
        <v>377</v>
      </c>
      <c r="J561" s="1141" t="s">
        <v>592</v>
      </c>
      <c r="K561" s="1142"/>
      <c r="L561" s="599"/>
      <c r="M561" s="599"/>
      <c r="N561" s="706">
        <f>N537</f>
        <v>24385.238749999997</v>
      </c>
      <c r="O561" s="706">
        <f>O537</f>
        <v>167465.00458333333</v>
      </c>
    </row>
    <row r="562" spans="1:15" ht="43.5" customHeight="1">
      <c r="A562" s="768" t="s">
        <v>908</v>
      </c>
      <c r="B562" s="1092" t="s">
        <v>87</v>
      </c>
      <c r="C562" s="1093"/>
      <c r="D562" s="1094">
        <f>I552</f>
        <v>7828100</v>
      </c>
      <c r="E562" s="1095"/>
      <c r="F562" s="1096"/>
      <c r="G562" s="821">
        <f t="shared" si="32"/>
        <v>114546.38571846648</v>
      </c>
      <c r="H562" s="522"/>
      <c r="I562" s="717" t="s">
        <v>377</v>
      </c>
      <c r="J562" s="1141" t="s">
        <v>592</v>
      </c>
      <c r="K562" s="1142"/>
      <c r="L562" s="599"/>
      <c r="M562" s="599"/>
      <c r="N562" s="706">
        <f>N552</f>
        <v>8290</v>
      </c>
      <c r="O562" s="706">
        <f>O552</f>
        <v>58030</v>
      </c>
    </row>
    <row r="563" spans="1:15" ht="45" customHeight="1">
      <c r="A563" s="769" t="s">
        <v>1055</v>
      </c>
      <c r="B563" s="1092" t="s">
        <v>853</v>
      </c>
      <c r="C563" s="1093"/>
      <c r="D563" s="1094">
        <f>I556</f>
        <v>2331110.2999999998</v>
      </c>
      <c r="E563" s="1095"/>
      <c r="F563" s="1096"/>
      <c r="G563" s="821">
        <f t="shared" si="32"/>
        <v>34110.481416447168</v>
      </c>
      <c r="H563" s="522"/>
      <c r="I563" s="717" t="s">
        <v>377</v>
      </c>
      <c r="J563" s="1141" t="s">
        <v>592</v>
      </c>
      <c r="K563" s="1142"/>
      <c r="L563" s="599"/>
      <c r="M563" s="599"/>
      <c r="N563" s="707">
        <v>0</v>
      </c>
      <c r="O563" s="571">
        <f t="shared" si="29"/>
        <v>0</v>
      </c>
    </row>
    <row r="564" spans="1:15" ht="45" customHeight="1">
      <c r="A564" s="770" t="s">
        <v>1057</v>
      </c>
      <c r="B564" s="771"/>
      <c r="C564" s="772"/>
      <c r="D564" s="1151">
        <f>SUM(D559:F563)</f>
        <v>68339999.63333334</v>
      </c>
      <c r="E564" s="1152"/>
      <c r="F564" s="1153"/>
      <c r="G564" s="822">
        <f>(D564/68.34)</f>
        <v>999999.99463466986</v>
      </c>
      <c r="H564" s="681"/>
      <c r="I564" s="718" t="s">
        <v>593</v>
      </c>
      <c r="J564" s="1143" t="s">
        <v>592</v>
      </c>
      <c r="K564" s="1144"/>
      <c r="L564" s="547"/>
      <c r="M564" s="547"/>
      <c r="N564" s="708">
        <f>(N563+N562+N561+N560+N559)</f>
        <v>96175.572083333333</v>
      </c>
      <c r="O564" s="708">
        <f>SUM(O559:O563)</f>
        <v>669997.33791666664</v>
      </c>
    </row>
    <row r="565" spans="1:15" ht="23.25" customHeight="1">
      <c r="A565" s="773" t="s">
        <v>683</v>
      </c>
      <c r="B565" s="773"/>
      <c r="C565" s="773"/>
      <c r="D565" s="600"/>
      <c r="E565" s="600"/>
      <c r="F565" s="600"/>
      <c r="G565" s="600"/>
      <c r="H565" s="600"/>
      <c r="I565" s="719"/>
      <c r="J565" s="600"/>
      <c r="K565" s="600"/>
      <c r="L565" s="600"/>
      <c r="M565" s="600"/>
      <c r="N565" s="709"/>
      <c r="O565" s="601"/>
    </row>
    <row r="566" spans="1:15" ht="28.5" customHeight="1">
      <c r="A566" s="773" t="s">
        <v>226</v>
      </c>
      <c r="B566" s="773"/>
      <c r="C566" s="773" t="s">
        <v>232</v>
      </c>
      <c r="D566" s="810"/>
      <c r="E566" s="466" t="s">
        <v>233</v>
      </c>
      <c r="F566" s="602"/>
      <c r="G566" s="602"/>
      <c r="H566" s="602"/>
      <c r="I566" s="720"/>
      <c r="J566" s="602"/>
      <c r="K566" s="819"/>
      <c r="L566" s="602"/>
      <c r="M566" s="602"/>
      <c r="N566" s="709"/>
      <c r="O566" s="601"/>
    </row>
    <row r="567" spans="1:15" ht="27.75" customHeight="1">
      <c r="A567" s="774"/>
      <c r="B567" s="775" t="s">
        <v>234</v>
      </c>
      <c r="C567" s="776" t="s">
        <v>235</v>
      </c>
      <c r="D567" s="811"/>
      <c r="E567" s="467"/>
      <c r="F567" s="603"/>
      <c r="G567" s="603"/>
      <c r="H567" s="604"/>
      <c r="I567" s="603"/>
      <c r="J567" s="605"/>
      <c r="K567" s="605"/>
      <c r="L567" s="606"/>
      <c r="M567" s="606"/>
      <c r="N567" s="709"/>
      <c r="O567" s="601"/>
    </row>
    <row r="568" spans="1:15" ht="26.25" customHeight="1">
      <c r="A568" s="774"/>
      <c r="B568" s="777" t="s">
        <v>120</v>
      </c>
      <c r="C568" s="776" t="s">
        <v>236</v>
      </c>
      <c r="D568" s="811"/>
      <c r="E568" s="467"/>
      <c r="F568" s="603"/>
      <c r="G568" s="603"/>
      <c r="H568" s="604"/>
      <c r="I568" s="603"/>
      <c r="J568" s="605"/>
      <c r="K568" s="605"/>
      <c r="L568" s="606"/>
      <c r="M568" s="606"/>
      <c r="N568" s="709"/>
      <c r="O568" s="601"/>
    </row>
    <row r="569" spans="1:15" ht="30" customHeight="1">
      <c r="A569" s="774"/>
      <c r="B569" s="777" t="s">
        <v>237</v>
      </c>
      <c r="C569" s="776" t="s">
        <v>238</v>
      </c>
      <c r="D569" s="811"/>
      <c r="E569" s="467"/>
      <c r="F569" s="603"/>
      <c r="G569" s="603"/>
      <c r="H569" s="604"/>
      <c r="I569" s="603"/>
      <c r="J569" s="605"/>
      <c r="K569" s="605"/>
      <c r="L569" s="606"/>
      <c r="M569" s="606"/>
      <c r="N569" s="709"/>
      <c r="O569" s="601"/>
    </row>
    <row r="570" spans="1:15" ht="36" customHeight="1">
      <c r="A570" s="774"/>
      <c r="B570" s="777" t="s">
        <v>1179</v>
      </c>
      <c r="C570" s="1138" t="s">
        <v>1180</v>
      </c>
      <c r="D570" s="1138"/>
      <c r="E570" s="467"/>
      <c r="F570" s="603"/>
      <c r="G570" s="603"/>
      <c r="H570" s="604"/>
      <c r="I570" s="603"/>
      <c r="J570" s="605"/>
      <c r="K570" s="605"/>
      <c r="L570" s="606"/>
      <c r="M570" s="606"/>
      <c r="N570" s="709"/>
      <c r="O570" s="601"/>
    </row>
    <row r="571" spans="1:15" ht="33.75" customHeight="1">
      <c r="A571" s="778" t="s">
        <v>324</v>
      </c>
      <c r="B571" s="778"/>
      <c r="C571" s="778"/>
      <c r="D571" s="812"/>
      <c r="E571" s="468"/>
      <c r="F571" s="607"/>
      <c r="G571" s="607"/>
      <c r="H571" s="607"/>
      <c r="I571" s="720"/>
      <c r="J571" s="607"/>
      <c r="K571" s="600"/>
      <c r="L571" s="607"/>
      <c r="M571" s="607"/>
      <c r="N571" s="709"/>
      <c r="O571" s="601"/>
    </row>
    <row r="572" spans="1:15" ht="28.5" customHeight="1">
      <c r="A572" s="774"/>
      <c r="B572" s="775" t="s">
        <v>239</v>
      </c>
      <c r="C572" s="776" t="s">
        <v>240</v>
      </c>
      <c r="D572" s="811"/>
      <c r="E572" s="469"/>
      <c r="F572" s="608"/>
      <c r="G572" s="608"/>
      <c r="H572" s="609"/>
      <c r="I572" s="608"/>
      <c r="J572" s="605"/>
      <c r="K572" s="605"/>
      <c r="L572" s="606"/>
      <c r="M572" s="606"/>
      <c r="N572" s="709"/>
      <c r="O572" s="601"/>
    </row>
    <row r="573" spans="1:15" ht="35.25" customHeight="1">
      <c r="A573" s="774"/>
      <c r="B573" s="775" t="s">
        <v>241</v>
      </c>
      <c r="C573" s="776" t="s">
        <v>242</v>
      </c>
      <c r="D573" s="811"/>
      <c r="E573" s="469"/>
      <c r="F573" s="608"/>
      <c r="G573" s="608"/>
      <c r="H573" s="609"/>
      <c r="I573" s="608"/>
      <c r="J573" s="605"/>
      <c r="K573" s="605"/>
      <c r="L573" s="606"/>
      <c r="M573" s="606"/>
      <c r="N573" s="709"/>
      <c r="O573" s="601"/>
    </row>
    <row r="574" spans="1:15" ht="26.25" customHeight="1">
      <c r="A574" s="774"/>
      <c r="B574" s="775" t="s">
        <v>124</v>
      </c>
      <c r="C574" s="776" t="s">
        <v>125</v>
      </c>
      <c r="D574" s="811"/>
      <c r="E574" s="469"/>
      <c r="F574" s="608"/>
      <c r="G574" s="608"/>
      <c r="H574" s="609"/>
      <c r="I574" s="608"/>
      <c r="J574" s="605"/>
      <c r="K574" s="605"/>
      <c r="L574" s="606"/>
      <c r="M574" s="606"/>
      <c r="N574" s="709"/>
      <c r="O574" s="601"/>
    </row>
    <row r="575" spans="1:15" ht="21" customHeight="1">
      <c r="A575" s="778" t="s">
        <v>321</v>
      </c>
      <c r="B575" s="778"/>
      <c r="C575" s="778"/>
      <c r="D575" s="812"/>
      <c r="E575" s="468"/>
      <c r="F575" s="607"/>
      <c r="G575" s="607"/>
      <c r="H575" s="607"/>
      <c r="I575" s="720"/>
      <c r="J575" s="607"/>
      <c r="K575" s="600"/>
      <c r="L575" s="607"/>
      <c r="M575" s="607"/>
      <c r="N575" s="709"/>
      <c r="O575" s="601"/>
    </row>
    <row r="576" spans="1:15" ht="22.5">
      <c r="A576" s="779"/>
      <c r="B576" s="780" t="s">
        <v>322</v>
      </c>
      <c r="C576" s="781" t="s">
        <v>323</v>
      </c>
      <c r="D576" s="813"/>
      <c r="E576" s="470"/>
      <c r="F576" s="610"/>
      <c r="G576" s="610"/>
      <c r="H576" s="611"/>
      <c r="I576" s="610"/>
      <c r="J576" s="612"/>
      <c r="K576" s="612"/>
      <c r="L576" s="613"/>
      <c r="M576" s="613"/>
      <c r="N576" s="709"/>
      <c r="O576" s="601"/>
    </row>
    <row r="577" spans="1:15" ht="30.75" customHeight="1">
      <c r="A577" s="782"/>
      <c r="B577" s="782" t="s">
        <v>319</v>
      </c>
      <c r="C577" s="783"/>
      <c r="D577" s="814" t="s">
        <v>319</v>
      </c>
      <c r="E577" s="525"/>
      <c r="F577" s="525"/>
      <c r="G577" s="614"/>
      <c r="H577" s="615"/>
      <c r="I577" s="616"/>
      <c r="J577" s="617"/>
      <c r="K577" s="617" t="s">
        <v>244</v>
      </c>
      <c r="L577" s="617"/>
      <c r="M577" s="617"/>
      <c r="N577" s="709"/>
      <c r="O577" s="601"/>
    </row>
    <row r="578" spans="1:15" ht="27" customHeight="1">
      <c r="A578" s="779"/>
      <c r="B578" s="784" t="s">
        <v>314</v>
      </c>
      <c r="C578" s="785"/>
      <c r="D578" s="815" t="s">
        <v>621</v>
      </c>
      <c r="E578" s="523"/>
      <c r="F578" s="523"/>
      <c r="G578" s="618"/>
      <c r="H578" s="619"/>
      <c r="I578" s="620"/>
      <c r="J578" s="612"/>
      <c r="K578" s="612" t="s">
        <v>890</v>
      </c>
      <c r="L578" s="612"/>
      <c r="M578" s="612"/>
      <c r="N578" s="709"/>
      <c r="O578" s="601"/>
    </row>
    <row r="579" spans="1:15" ht="57.75" customHeight="1">
      <c r="A579" s="779"/>
      <c r="B579" s="784" t="s">
        <v>315</v>
      </c>
      <c r="C579" s="785"/>
      <c r="D579" s="815" t="s">
        <v>245</v>
      </c>
      <c r="E579" s="523"/>
      <c r="F579" s="523"/>
      <c r="G579" s="618"/>
      <c r="H579" s="619"/>
      <c r="I579" s="620"/>
      <c r="J579" s="621"/>
      <c r="K579" s="621" t="s">
        <v>681</v>
      </c>
      <c r="L579" s="621"/>
      <c r="M579" s="621"/>
      <c r="N579" s="709"/>
      <c r="O579" s="601"/>
    </row>
    <row r="580" spans="1:15" ht="43.5" customHeight="1"/>
    <row r="581" spans="1:15" ht="38.25" customHeight="1"/>
    <row r="582" spans="1:15" ht="56.25" customHeight="1"/>
    <row r="583" spans="1:15" ht="39" customHeight="1"/>
    <row r="584" spans="1:15" ht="43.5" hidden="1" customHeight="1"/>
    <row r="585" spans="1:15" ht="43.5" hidden="1" customHeight="1"/>
    <row r="586" spans="1:15" ht="37.5" customHeight="1"/>
    <row r="587" spans="1:15" ht="47.25" customHeight="1"/>
    <row r="588" spans="1:15" ht="30.75" customHeight="1"/>
    <row r="589" spans="1:15" ht="30.75" customHeight="1"/>
    <row r="590" spans="1:15" ht="36" customHeight="1"/>
    <row r="591" spans="1:15" ht="30.75" customHeight="1"/>
    <row r="592" spans="1:15" ht="33.75" customHeight="1"/>
    <row r="593" ht="30.75" customHeight="1"/>
    <row r="594" ht="33.75" customHeight="1"/>
    <row r="595" ht="39.75" customHeight="1"/>
    <row r="596" ht="29.25" customHeight="1"/>
    <row r="597" ht="23.25" customHeight="1"/>
    <row r="598" ht="28.5" customHeight="1"/>
    <row r="599" ht="27.75" customHeight="1"/>
    <row r="600" ht="26.25" customHeight="1"/>
    <row r="601" ht="30" customHeight="1"/>
    <row r="602" ht="36" customHeight="1"/>
    <row r="603" ht="33.75" customHeight="1"/>
    <row r="604" ht="28.5" customHeight="1"/>
    <row r="605" ht="35.25" customHeight="1"/>
    <row r="606" ht="26.25" customHeight="1"/>
    <row r="607" ht="21" customHeight="1"/>
    <row r="609" ht="30.75" customHeight="1"/>
    <row r="610" ht="27" customHeight="1"/>
    <row r="611" ht="31.5" customHeight="1"/>
    <row r="613" ht="39" customHeight="1"/>
    <row r="614" ht="41.25" customHeight="1"/>
    <row r="615" ht="60" customHeight="1"/>
    <row r="616" ht="42.75" customHeight="1"/>
    <row r="619" ht="15" customHeight="1"/>
    <row r="621" ht="30" customHeight="1"/>
    <row r="622" ht="45.75" customHeight="1"/>
    <row r="624" ht="43.5" customHeight="1"/>
    <row r="625" ht="15" customHeight="1"/>
    <row r="626" ht="19.5" customHeight="1"/>
    <row r="627" ht="70.5" customHeight="1"/>
    <row r="628" ht="37.5" customHeight="1"/>
    <row r="629" ht="39" customHeight="1"/>
    <row r="631" ht="76.5" customHeight="1"/>
    <row r="632" ht="54" customHeight="1"/>
    <row r="633" ht="38.25" customHeight="1"/>
    <row r="634" ht="38.25" customHeight="1"/>
    <row r="635" ht="48.75" customHeight="1"/>
    <row r="637" ht="60" customHeight="1"/>
    <row r="638" ht="44.25" customHeight="1"/>
    <row r="639" ht="51" customHeight="1"/>
    <row r="640" ht="37.5" customHeight="1"/>
    <row r="642" ht="43.5" customHeight="1"/>
    <row r="643" ht="47.25" customHeight="1"/>
    <row r="644" ht="35.25" customHeight="1"/>
    <row r="647" ht="51" customHeight="1"/>
    <row r="648" ht="37.5" customHeight="1"/>
    <row r="649" ht="37.5" customHeight="1"/>
    <row r="651" ht="45.75" customHeight="1"/>
    <row r="652" ht="39.75" customHeight="1"/>
    <row r="653" ht="43.5" hidden="1" customHeight="1"/>
    <row r="654" ht="43.5" hidden="1" customHeight="1"/>
    <row r="655" ht="37.5" customHeight="1"/>
    <row r="657" ht="45.75" customHeight="1"/>
    <row r="658" ht="45.75" customHeight="1"/>
    <row r="659" ht="45.75" customHeight="1"/>
    <row r="660" ht="39.75" customHeight="1"/>
    <row r="661" ht="39.75" customHeight="1"/>
    <row r="662" ht="43.5" customHeight="1"/>
    <row r="663" ht="90.75" customHeight="1"/>
    <row r="664" ht="46.5" customHeight="1"/>
    <row r="665" ht="31.5" customHeight="1"/>
    <row r="666" ht="30" customHeight="1"/>
    <row r="667" ht="39" customHeight="1"/>
    <row r="668" ht="45.75" customHeight="1"/>
    <row r="669" ht="45.75" customHeight="1"/>
    <row r="670" ht="56.25" customHeight="1"/>
    <row r="671" ht="35.25" customHeight="1"/>
    <row r="672" ht="26.25" customHeight="1"/>
    <row r="673" ht="37.5" customHeight="1"/>
    <row r="674" ht="37.5" customHeight="1"/>
    <row r="675" ht="37.5" customHeight="1"/>
    <row r="676" ht="31.5" customHeight="1"/>
    <row r="677" ht="39.75" customHeight="1"/>
    <row r="678" ht="63" customHeight="1"/>
    <row r="679" ht="38.25" customHeight="1"/>
    <row r="680" ht="56.25" customHeight="1"/>
    <row r="681" ht="39" customHeight="1"/>
    <row r="684" ht="45.75" customHeight="1"/>
    <row r="685" ht="39" customHeight="1"/>
    <row r="686" ht="62.25" customHeight="1"/>
    <row r="687" ht="43.5" hidden="1" customHeight="1"/>
    <row r="688" ht="43.5" hidden="1" customHeight="1"/>
    <row r="689" ht="30" customHeight="1"/>
    <row r="690" ht="18.75" customHeight="1"/>
    <row r="691" ht="20.25" customHeight="1"/>
    <row r="692" ht="22.5" customHeight="1"/>
    <row r="693" ht="22.5" customHeight="1"/>
    <row r="694" ht="22.5" customHeight="1"/>
    <row r="695" ht="31.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5.5" customHeight="1"/>
    <row r="708" ht="30.75" customHeight="1"/>
    <row r="709" ht="18" customHeight="1"/>
    <row r="710" ht="18" customHeight="1"/>
    <row r="711" ht="18" customHeight="1"/>
    <row r="712" ht="18" customHeight="1"/>
    <row r="713" ht="26.25" customHeight="1"/>
    <row r="714" ht="18" customHeight="1"/>
    <row r="715" ht="28.5" customHeight="1"/>
    <row r="716" ht="18" customHeight="1"/>
    <row r="717" ht="18" customHeight="1"/>
    <row r="718" ht="18" customHeight="1"/>
    <row r="719" ht="18" customHeight="1"/>
    <row r="720" ht="30.75"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25.5" customHeight="1"/>
    <row r="736" ht="21" customHeight="1"/>
    <row r="737" ht="21" customHeight="1"/>
    <row r="738" ht="21" customHeight="1"/>
    <row r="739" ht="30" customHeight="1"/>
    <row r="740" ht="21" customHeight="1"/>
    <row r="741" ht="21" customHeight="1"/>
    <row r="742" ht="21" customHeight="1"/>
    <row r="743" ht="21" customHeight="1"/>
    <row r="744" ht="21" customHeight="1"/>
    <row r="745" ht="21" customHeight="1"/>
    <row r="746" ht="21" customHeight="1"/>
    <row r="747" ht="21" customHeight="1"/>
    <row r="748" ht="21" customHeight="1"/>
    <row r="749" ht="21" customHeight="1"/>
    <row r="750" ht="21" customHeight="1"/>
    <row r="751" ht="25.5" customHeight="1"/>
    <row r="752" ht="18" customHeight="1"/>
    <row r="753" ht="18" customHeight="1"/>
    <row r="754" ht="18" customHeight="1"/>
    <row r="755" ht="22.5" customHeight="1"/>
    <row r="756" ht="18" customHeight="1"/>
    <row r="757" ht="30.75"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25.5" customHeight="1"/>
    <row r="780" ht="19.5" customHeight="1"/>
    <row r="781" ht="19.5" customHeight="1"/>
    <row r="782" ht="19.5" customHeight="1"/>
    <row r="783" ht="27.7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34.5" customHeight="1"/>
    <row r="797" ht="19.5" customHeight="1"/>
    <row r="798" ht="19.5" customHeight="1"/>
    <row r="799" ht="19.5" customHeight="1"/>
    <row r="800" ht="19.5" customHeight="1"/>
    <row r="801" ht="19.5" customHeight="1"/>
    <row r="802" ht="25.5" customHeight="1"/>
    <row r="803" ht="33" customHeight="1"/>
    <row r="804" ht="21" customHeight="1"/>
    <row r="805" ht="21" customHeight="1"/>
    <row r="806" ht="21" customHeight="1"/>
    <row r="807" ht="21" customHeight="1"/>
    <row r="808" ht="25.5" customHeight="1"/>
    <row r="809" ht="23.25" customHeight="1"/>
    <row r="810" ht="23.25" customHeight="1"/>
    <row r="811" ht="23.25" customHeight="1"/>
    <row r="812" ht="23.25" customHeight="1"/>
    <row r="813" ht="23.25" customHeight="1"/>
    <row r="814" ht="23.25" customHeight="1"/>
    <row r="815" ht="23.25" customHeight="1"/>
    <row r="816" ht="22.5" customHeight="1"/>
    <row r="817" ht="23.25" customHeight="1"/>
    <row r="818" ht="31.5" customHeight="1"/>
    <row r="819" ht="23.25" customHeight="1"/>
    <row r="820" ht="23.25" customHeight="1"/>
    <row r="821" ht="23.25" customHeight="1"/>
    <row r="822" ht="23.25" customHeight="1"/>
    <row r="823" ht="23.25" customHeight="1"/>
    <row r="824" ht="23.25" customHeight="1"/>
    <row r="825" ht="23.25" customHeight="1"/>
    <row r="826" ht="23.25" customHeight="1"/>
    <row r="827" ht="23.25" customHeight="1"/>
    <row r="828" ht="23.25" customHeight="1"/>
    <row r="829" ht="23.25" customHeight="1"/>
    <row r="830" ht="23.25" customHeight="1"/>
    <row r="831" ht="23.25" customHeight="1"/>
    <row r="832" ht="23.25" customHeight="1"/>
    <row r="833" ht="23.25" customHeight="1"/>
    <row r="834" ht="23.25" customHeight="1"/>
    <row r="835" ht="23.25" customHeight="1"/>
    <row r="836" ht="23.25" customHeight="1"/>
    <row r="837" ht="23.25" customHeight="1"/>
    <row r="838" ht="25.5" customHeight="1"/>
    <row r="839" ht="19.5" customHeight="1"/>
    <row r="840" ht="29.25" customHeight="1"/>
    <row r="841" ht="19.5" customHeight="1"/>
    <row r="842" ht="19.5" customHeight="1"/>
    <row r="843" ht="27" customHeight="1"/>
    <row r="844" ht="19.5" customHeight="1"/>
    <row r="845" ht="28.5" customHeight="1"/>
    <row r="846" ht="19.5" customHeight="1"/>
    <row r="847" ht="19.5" customHeight="1"/>
    <row r="848" ht="19.5" customHeight="1"/>
    <row r="849" ht="19.5" customHeight="1"/>
    <row r="850" ht="19.5" customHeight="1"/>
    <row r="851" ht="19.5" customHeight="1"/>
    <row r="852" ht="33.75" customHeight="1"/>
    <row r="853" ht="19.5" customHeight="1"/>
    <row r="854" ht="19.5" customHeight="1"/>
    <row r="855" ht="19.5" customHeight="1"/>
    <row r="856" ht="19.5" customHeight="1"/>
    <row r="857" ht="19.5" customHeight="1"/>
    <row r="858" ht="25.5" customHeight="1"/>
    <row r="859" ht="25.5" customHeight="1"/>
    <row r="860" ht="25.5" customHeight="1"/>
    <row r="861" ht="25.5" customHeight="1"/>
    <row r="862" ht="25.5" customHeight="1"/>
    <row r="863" ht="25.5" customHeight="1"/>
    <row r="864" ht="25.5" customHeight="1"/>
    <row r="865" ht="25.5" customHeight="1"/>
    <row r="866" ht="25.5" customHeight="1"/>
    <row r="867" ht="23.25" customHeight="1"/>
    <row r="868" ht="23.25" customHeight="1"/>
    <row r="869" ht="23.25" customHeight="1"/>
    <row r="870" ht="23.25" customHeight="1"/>
    <row r="871" ht="23.25" customHeight="1"/>
    <row r="872" ht="23.25" customHeight="1"/>
    <row r="873" ht="23.25" customHeight="1"/>
    <row r="874" ht="25.5" customHeight="1"/>
    <row r="875" ht="25.5" customHeight="1"/>
    <row r="876" ht="25.5" customHeight="1"/>
    <row r="877" ht="25.5" customHeight="1"/>
    <row r="878" ht="25.5" customHeight="1"/>
    <row r="879" ht="25.5" customHeight="1"/>
    <row r="880" ht="25.5" customHeight="1"/>
    <row r="881" ht="25.5" customHeight="1"/>
    <row r="882" ht="25.5" customHeight="1"/>
    <row r="883" ht="22.5" customHeight="1"/>
    <row r="884" ht="22.5" customHeight="1"/>
    <row r="885" ht="22.5" customHeight="1"/>
    <row r="886" ht="22.5" customHeight="1"/>
    <row r="887" ht="22.5" customHeight="1"/>
    <row r="888" ht="28.5" customHeight="1"/>
    <row r="889" ht="22.5" customHeight="1"/>
    <row r="890" ht="25.5" customHeight="1"/>
    <row r="891" ht="18.75" customHeight="1"/>
    <row r="892" ht="18.75" customHeight="1"/>
    <row r="893" ht="18.75" customHeight="1"/>
    <row r="894" ht="18.75" customHeight="1"/>
    <row r="895" ht="18.75" customHeight="1"/>
    <row r="896" ht="24.75" customHeight="1"/>
    <row r="897" ht="18.75" customHeight="1"/>
    <row r="898" ht="18.75" customHeight="1"/>
    <row r="899" ht="18.75" customHeight="1"/>
    <row r="900" ht="18.75" customHeight="1"/>
    <row r="901" ht="18.75" customHeight="1"/>
    <row r="902" ht="18.75" customHeight="1"/>
    <row r="903" ht="18.75" customHeight="1"/>
    <row r="904" ht="18.75" customHeight="1"/>
    <row r="905" ht="25.5" customHeight="1"/>
    <row r="906" ht="17.25" customHeight="1"/>
    <row r="907" ht="17.25" customHeight="1"/>
    <row r="908" ht="17.25" customHeight="1"/>
    <row r="909" ht="17.25" customHeight="1"/>
    <row r="910" ht="17.25" customHeight="1"/>
    <row r="911" ht="27" customHeight="1"/>
    <row r="912" ht="17.25" customHeight="1"/>
    <row r="913" ht="17.25" customHeight="1"/>
    <row r="914" ht="17.25" customHeight="1"/>
    <row r="915" ht="17.25" customHeight="1"/>
    <row r="916" ht="17.25" customHeight="1"/>
    <row r="917" ht="17.25" customHeight="1"/>
    <row r="918" ht="17.25" customHeight="1"/>
    <row r="919" ht="17.25" customHeight="1"/>
    <row r="920" ht="25.5" customHeight="1"/>
    <row r="921" ht="27.75" customHeight="1"/>
    <row r="922" ht="27.75" customHeight="1"/>
    <row r="923" ht="27.75" customHeight="1"/>
    <row r="924" ht="41.25" customHeight="1"/>
    <row r="925" ht="18" customHeight="1"/>
    <row r="926" ht="38.25" customHeight="1"/>
    <row r="936" ht="15" customHeight="1"/>
    <row r="937" ht="15" customHeight="1"/>
    <row r="938" ht="15" customHeight="1"/>
    <row r="941" ht="15" customHeight="1"/>
    <row r="946" ht="43.5" customHeight="1"/>
    <row r="947" ht="38.25" customHeight="1"/>
    <row r="948" ht="56.25" customHeight="1"/>
    <row r="949" ht="39" customHeight="1"/>
    <row r="950" ht="43.5" hidden="1" customHeight="1"/>
    <row r="951" ht="43.5" hidden="1" customHeight="1"/>
    <row r="952" ht="37.5" customHeight="1"/>
    <row r="953" ht="47.25" customHeight="1"/>
    <row r="954" ht="30.75" customHeight="1"/>
    <row r="955" ht="30.75" customHeight="1"/>
    <row r="956" ht="36" customHeight="1"/>
    <row r="957" ht="30.75" customHeight="1"/>
    <row r="958" ht="33.75" customHeight="1"/>
    <row r="959" ht="30.75" customHeight="1"/>
    <row r="960" ht="33.75" customHeight="1"/>
    <row r="961" ht="39.75" customHeight="1"/>
    <row r="962" ht="29.25" customHeight="1"/>
    <row r="963" ht="23.25" customHeight="1"/>
    <row r="964" ht="28.5" customHeight="1"/>
    <row r="965" ht="27.75" customHeight="1"/>
    <row r="966" ht="26.25" customHeight="1"/>
    <row r="967" ht="30" customHeight="1"/>
    <row r="968" ht="36" customHeight="1"/>
    <row r="969" ht="33.75" customHeight="1"/>
    <row r="970" ht="28.5" customHeight="1"/>
    <row r="971" ht="35.25" customHeight="1"/>
    <row r="972" ht="26.25" customHeight="1"/>
    <row r="973" ht="21" customHeight="1"/>
    <row r="975" ht="30.75" customHeight="1"/>
    <row r="976" ht="27" customHeight="1"/>
    <row r="977" ht="31.5" customHeight="1"/>
    <row r="978" ht="39.75" customHeight="1"/>
  </sheetData>
  <mergeCells count="269">
    <mergeCell ref="J558:K558"/>
    <mergeCell ref="J559:K559"/>
    <mergeCell ref="J560:K560"/>
    <mergeCell ref="J561:K561"/>
    <mergeCell ref="J562:K562"/>
    <mergeCell ref="J563:K563"/>
    <mergeCell ref="J564:K564"/>
    <mergeCell ref="A538:O538"/>
    <mergeCell ref="A540:A543"/>
    <mergeCell ref="A546:A547"/>
    <mergeCell ref="A548:D548"/>
    <mergeCell ref="A551:D551"/>
    <mergeCell ref="A552:D552"/>
    <mergeCell ref="A553:O553"/>
    <mergeCell ref="A556:D556"/>
    <mergeCell ref="A557:O557"/>
    <mergeCell ref="D559:F559"/>
    <mergeCell ref="D560:F560"/>
    <mergeCell ref="D561:F561"/>
    <mergeCell ref="D562:F562"/>
    <mergeCell ref="D564:F564"/>
    <mergeCell ref="B562:C562"/>
    <mergeCell ref="A544:D544"/>
    <mergeCell ref="A558:C558"/>
    <mergeCell ref="C570:D570"/>
    <mergeCell ref="A465:A472"/>
    <mergeCell ref="B465:B472"/>
    <mergeCell ref="C465:C472"/>
    <mergeCell ref="A473:D473"/>
    <mergeCell ref="A474:A480"/>
    <mergeCell ref="B474:B480"/>
    <mergeCell ref="C474:C480"/>
    <mergeCell ref="A481:D481"/>
    <mergeCell ref="A482:A488"/>
    <mergeCell ref="B482:B488"/>
    <mergeCell ref="C482:C488"/>
    <mergeCell ref="A489:D489"/>
    <mergeCell ref="A490:A496"/>
    <mergeCell ref="B490:B496"/>
    <mergeCell ref="C490:C496"/>
    <mergeCell ref="A497:D497"/>
    <mergeCell ref="A498:A504"/>
    <mergeCell ref="B498:B504"/>
    <mergeCell ref="C498:C504"/>
    <mergeCell ref="A505:D505"/>
    <mergeCell ref="A506:A512"/>
    <mergeCell ref="B506:B512"/>
    <mergeCell ref="C506:C512"/>
    <mergeCell ref="A513:D513"/>
    <mergeCell ref="A514:A519"/>
    <mergeCell ref="B514:B519"/>
    <mergeCell ref="C514:C519"/>
    <mergeCell ref="A520:D520"/>
    <mergeCell ref="A521:A527"/>
    <mergeCell ref="B521:B527"/>
    <mergeCell ref="C521:C527"/>
    <mergeCell ref="A528:D528"/>
    <mergeCell ref="A529:A535"/>
    <mergeCell ref="B529:B535"/>
    <mergeCell ref="C529:C535"/>
    <mergeCell ref="A390:D390"/>
    <mergeCell ref="A391:A397"/>
    <mergeCell ref="B391:B397"/>
    <mergeCell ref="C391:C397"/>
    <mergeCell ref="A398:D398"/>
    <mergeCell ref="A408:D408"/>
    <mergeCell ref="A399:A407"/>
    <mergeCell ref="B399:B407"/>
    <mergeCell ref="C399:C407"/>
    <mergeCell ref="A409:A415"/>
    <mergeCell ref="B409:B415"/>
    <mergeCell ref="C409:C415"/>
    <mergeCell ref="A416:D416"/>
    <mergeCell ref="A417:A422"/>
    <mergeCell ref="B417:B422"/>
    <mergeCell ref="C417:C422"/>
    <mergeCell ref="A423:D423"/>
    <mergeCell ref="A464:D464"/>
    <mergeCell ref="A456:D456"/>
    <mergeCell ref="A457:A463"/>
    <mergeCell ref="B457:B463"/>
    <mergeCell ref="A320:A326"/>
    <mergeCell ref="B320:B326"/>
    <mergeCell ref="C320:C326"/>
    <mergeCell ref="A319:D319"/>
    <mergeCell ref="A327:D327"/>
    <mergeCell ref="A328:A333"/>
    <mergeCell ref="B328:B333"/>
    <mergeCell ref="C328:C333"/>
    <mergeCell ref="A334:D334"/>
    <mergeCell ref="A342:D342"/>
    <mergeCell ref="A343:A347"/>
    <mergeCell ref="B343:B347"/>
    <mergeCell ref="C343:C347"/>
    <mergeCell ref="A348:D348"/>
    <mergeCell ref="A349:A356"/>
    <mergeCell ref="B349:B356"/>
    <mergeCell ref="C349:C356"/>
    <mergeCell ref="A357:D357"/>
    <mergeCell ref="B358:B364"/>
    <mergeCell ref="A424:A438"/>
    <mergeCell ref="B424:B438"/>
    <mergeCell ref="C424:C438"/>
    <mergeCell ref="A439:D439"/>
    <mergeCell ref="B366:B372"/>
    <mergeCell ref="C366:C372"/>
    <mergeCell ref="A373:D373"/>
    <mergeCell ref="A382:D382"/>
    <mergeCell ref="A374:A381"/>
    <mergeCell ref="B374:B381"/>
    <mergeCell ref="C374:C381"/>
    <mergeCell ref="C358:C364"/>
    <mergeCell ref="A358:A364"/>
    <mergeCell ref="A365:D365"/>
    <mergeCell ref="A366:A372"/>
    <mergeCell ref="C457:C463"/>
    <mergeCell ref="A440:A446"/>
    <mergeCell ref="B440:B446"/>
    <mergeCell ref="C440:C446"/>
    <mergeCell ref="A447:D447"/>
    <mergeCell ref="A448:A455"/>
    <mergeCell ref="B448:B455"/>
    <mergeCell ref="C448:C455"/>
    <mergeCell ref="A383:A389"/>
    <mergeCell ref="B383:B389"/>
    <mergeCell ref="C383:C389"/>
    <mergeCell ref="A301:D301"/>
    <mergeCell ref="A300:D300"/>
    <mergeCell ref="A297:D297"/>
    <mergeCell ref="A283:D283"/>
    <mergeCell ref="A285:A296"/>
    <mergeCell ref="B285:B296"/>
    <mergeCell ref="C285:C296"/>
    <mergeCell ref="C298:C299"/>
    <mergeCell ref="A269:D269"/>
    <mergeCell ref="A180:D180"/>
    <mergeCell ref="A172:D172"/>
    <mergeCell ref="A157:D157"/>
    <mergeCell ref="A129:D129"/>
    <mergeCell ref="B255:B260"/>
    <mergeCell ref="C255:C260"/>
    <mergeCell ref="A237:D237"/>
    <mergeCell ref="C263:C268"/>
    <mergeCell ref="A271:A282"/>
    <mergeCell ref="B271:B282"/>
    <mergeCell ref="C271:C282"/>
    <mergeCell ref="A263:A268"/>
    <mergeCell ref="B263:B268"/>
    <mergeCell ref="C312:C318"/>
    <mergeCell ref="A311:D311"/>
    <mergeCell ref="B182:B186"/>
    <mergeCell ref="C182:C186"/>
    <mergeCell ref="A189:A215"/>
    <mergeCell ref="B189:B215"/>
    <mergeCell ref="C189:C215"/>
    <mergeCell ref="A218:A236"/>
    <mergeCell ref="B218:B236"/>
    <mergeCell ref="C218:C236"/>
    <mergeCell ref="A239:A244"/>
    <mergeCell ref="B239:B244"/>
    <mergeCell ref="C239:C244"/>
    <mergeCell ref="A247:A252"/>
    <mergeCell ref="B247:B252"/>
    <mergeCell ref="C247:C252"/>
    <mergeCell ref="A255:A260"/>
    <mergeCell ref="A261:D261"/>
    <mergeCell ref="A253:D253"/>
    <mergeCell ref="A245:D245"/>
    <mergeCell ref="A216:D216"/>
    <mergeCell ref="A187:D187"/>
    <mergeCell ref="A298:A299"/>
    <mergeCell ref="B298:B299"/>
    <mergeCell ref="M71:M72"/>
    <mergeCell ref="A88:A113"/>
    <mergeCell ref="B88:B113"/>
    <mergeCell ref="A1:O1"/>
    <mergeCell ref="A2:O2"/>
    <mergeCell ref="J3:K3"/>
    <mergeCell ref="L3:L4"/>
    <mergeCell ref="L5:L7"/>
    <mergeCell ref="N71:N72"/>
    <mergeCell ref="O71:O72"/>
    <mergeCell ref="J71:K71"/>
    <mergeCell ref="A10:A12"/>
    <mergeCell ref="A43:A46"/>
    <mergeCell ref="B43:B46"/>
    <mergeCell ref="C43:C46"/>
    <mergeCell ref="A49:A53"/>
    <mergeCell ref="B49:B53"/>
    <mergeCell ref="C49:C53"/>
    <mergeCell ref="A56:A58"/>
    <mergeCell ref="B56:B58"/>
    <mergeCell ref="C56:C58"/>
    <mergeCell ref="A61:A63"/>
    <mergeCell ref="B61:B63"/>
    <mergeCell ref="C61:C63"/>
    <mergeCell ref="B73:B85"/>
    <mergeCell ref="C73:C85"/>
    <mergeCell ref="A116:A128"/>
    <mergeCell ref="B116:B128"/>
    <mergeCell ref="C116:C128"/>
    <mergeCell ref="B39:B40"/>
    <mergeCell ref="B35:B36"/>
    <mergeCell ref="C35:C36"/>
    <mergeCell ref="L71:L72"/>
    <mergeCell ref="A66:A67"/>
    <mergeCell ref="B66:B67"/>
    <mergeCell ref="C66:C67"/>
    <mergeCell ref="A86:D86"/>
    <mergeCell ref="A69:D69"/>
    <mergeCell ref="D558:F558"/>
    <mergeCell ref="B559:C559"/>
    <mergeCell ref="B560:C560"/>
    <mergeCell ref="B561:C561"/>
    <mergeCell ref="B563:C563"/>
    <mergeCell ref="D563:F563"/>
    <mergeCell ref="A536:D536"/>
    <mergeCell ref="A537:D537"/>
    <mergeCell ref="A131:A156"/>
    <mergeCell ref="B131:B156"/>
    <mergeCell ref="C131:C156"/>
    <mergeCell ref="A159:A171"/>
    <mergeCell ref="B159:B171"/>
    <mergeCell ref="C159:C171"/>
    <mergeCell ref="A174:A179"/>
    <mergeCell ref="B174:B179"/>
    <mergeCell ref="C174:C179"/>
    <mergeCell ref="A182:A186"/>
    <mergeCell ref="A302:O302"/>
    <mergeCell ref="A304:A310"/>
    <mergeCell ref="B304:B310"/>
    <mergeCell ref="C304:C310"/>
    <mergeCell ref="A312:A318"/>
    <mergeCell ref="B312:B318"/>
    <mergeCell ref="A15:A18"/>
    <mergeCell ref="C88:C113"/>
    <mergeCell ref="A114:D114"/>
    <mergeCell ref="A5:A7"/>
    <mergeCell ref="B15:B18"/>
    <mergeCell ref="C15:C18"/>
    <mergeCell ref="A21:A23"/>
    <mergeCell ref="A26:A28"/>
    <mergeCell ref="A31:A32"/>
    <mergeCell ref="A35:A36"/>
    <mergeCell ref="A39:A40"/>
    <mergeCell ref="C39:C40"/>
    <mergeCell ref="B31:B32"/>
    <mergeCell ref="C31:C32"/>
    <mergeCell ref="B26:B28"/>
    <mergeCell ref="C26:C28"/>
    <mergeCell ref="B21:B23"/>
    <mergeCell ref="C21:C23"/>
    <mergeCell ref="C10:C12"/>
    <mergeCell ref="B10:B12"/>
    <mergeCell ref="B5:B7"/>
    <mergeCell ref="C5:C7"/>
    <mergeCell ref="A70:O70"/>
    <mergeCell ref="A73:A85"/>
    <mergeCell ref="B3:B4"/>
    <mergeCell ref="A3:A4"/>
    <mergeCell ref="M3:M4"/>
    <mergeCell ref="N3:N4"/>
    <mergeCell ref="O3:O4"/>
    <mergeCell ref="I3:I4"/>
    <mergeCell ref="G3:G4"/>
    <mergeCell ref="F3:F4"/>
    <mergeCell ref="E3:E4"/>
    <mergeCell ref="D3:D4"/>
    <mergeCell ref="C3:C4"/>
  </mergeCells>
  <printOptions horizontalCentered="1"/>
  <pageMargins left="0.23622047244094491" right="0.35433070866141736" top="0.27559055118110237" bottom="0.15748031496062992" header="0.35433070866141736" footer="0.15748031496062992"/>
  <pageSetup paperSize="8" scale="72"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rightToLeft="1" topLeftCell="A27" zoomScaleSheetLayoutView="50" workbookViewId="0">
      <selection activeCell="H39" sqref="H39"/>
    </sheetView>
  </sheetViews>
  <sheetFormatPr defaultRowHeight="15"/>
  <cols>
    <col min="1" max="1" width="3.28515625" customWidth="1"/>
    <col min="2" max="2" width="6" customWidth="1"/>
    <col min="3" max="3" width="3.85546875" customWidth="1"/>
    <col min="4" max="4" width="3.7109375" customWidth="1"/>
    <col min="5" max="5" width="3.42578125" customWidth="1"/>
    <col min="6" max="6" width="5.42578125" customWidth="1"/>
    <col min="7" max="7" width="13.5703125" customWidth="1"/>
    <col min="8" max="8" width="25.140625" customWidth="1"/>
    <col min="9" max="9" width="5.7109375" customWidth="1"/>
    <col min="10" max="11" width="4.85546875" customWidth="1"/>
    <col min="12" max="12" width="22.42578125" customWidth="1"/>
    <col min="13" max="13" width="15.5703125" customWidth="1"/>
    <col min="14" max="14" width="7" customWidth="1"/>
    <col min="15" max="15" width="5.7109375" customWidth="1"/>
    <col min="16" max="16" width="6.5703125" customWidth="1"/>
    <col min="17" max="17" width="5.7109375" customWidth="1"/>
    <col min="18" max="18" width="5.5703125" customWidth="1"/>
    <col min="19" max="19" width="5.42578125" customWidth="1"/>
    <col min="20" max="20" width="5" customWidth="1"/>
    <col min="21" max="21" width="7.140625" customWidth="1"/>
    <col min="22" max="22" width="4.85546875" customWidth="1"/>
    <col min="23" max="23" width="5.42578125" customWidth="1"/>
    <col min="24" max="24" width="4.85546875" customWidth="1"/>
    <col min="25" max="25" width="6.42578125" customWidth="1"/>
    <col min="26" max="34" width="9.140625" customWidth="1"/>
  </cols>
  <sheetData>
    <row r="1" spans="1:25" ht="25.5" customHeight="1">
      <c r="A1" s="1157" t="s">
        <v>341</v>
      </c>
      <c r="B1" s="1158"/>
      <c r="C1" s="1158"/>
      <c r="D1" s="1158"/>
      <c r="E1" s="1158"/>
      <c r="F1" s="1158"/>
      <c r="G1" s="1158"/>
      <c r="H1" s="1158"/>
      <c r="I1" s="1158"/>
      <c r="J1" s="1158"/>
      <c r="K1" s="1158"/>
      <c r="L1" s="1158"/>
      <c r="M1" s="1158"/>
      <c r="N1" s="1158"/>
      <c r="O1" s="1158"/>
      <c r="P1" s="1158"/>
      <c r="Q1" s="1158"/>
      <c r="R1" s="1158"/>
      <c r="S1" s="1158"/>
      <c r="T1" s="1158"/>
      <c r="U1" s="1158"/>
      <c r="V1" s="1158"/>
      <c r="W1" s="1158"/>
      <c r="X1" s="1158"/>
      <c r="Y1" s="1159"/>
    </row>
    <row r="2" spans="1:25" ht="256.5" customHeight="1">
      <c r="A2" s="115" t="s">
        <v>88</v>
      </c>
      <c r="B2" s="116" t="s">
        <v>89</v>
      </c>
      <c r="C2" s="116" t="s">
        <v>90</v>
      </c>
      <c r="D2" s="116" t="s">
        <v>91</v>
      </c>
      <c r="E2" s="116" t="s">
        <v>92</v>
      </c>
      <c r="F2" s="116" t="s">
        <v>93</v>
      </c>
      <c r="G2" s="116" t="s">
        <v>94</v>
      </c>
      <c r="H2" s="116" t="s">
        <v>95</v>
      </c>
      <c r="I2" s="116" t="s">
        <v>96</v>
      </c>
      <c r="J2" s="116" t="s">
        <v>97</v>
      </c>
      <c r="K2" s="116" t="s">
        <v>98</v>
      </c>
      <c r="L2" s="116" t="s">
        <v>99</v>
      </c>
      <c r="M2" s="116" t="s">
        <v>100</v>
      </c>
      <c r="N2" s="116" t="s">
        <v>101</v>
      </c>
      <c r="O2" s="116" t="s">
        <v>102</v>
      </c>
      <c r="P2" s="116" t="s">
        <v>103</v>
      </c>
      <c r="Q2" s="116" t="s">
        <v>104</v>
      </c>
      <c r="R2" s="116" t="s">
        <v>105</v>
      </c>
      <c r="S2" s="116" t="s">
        <v>106</v>
      </c>
      <c r="T2" s="116" t="s">
        <v>107</v>
      </c>
      <c r="U2" s="116" t="s">
        <v>108</v>
      </c>
      <c r="V2" s="116" t="s">
        <v>109</v>
      </c>
      <c r="W2" s="116" t="s">
        <v>110</v>
      </c>
      <c r="X2" s="116" t="s">
        <v>111</v>
      </c>
      <c r="Y2" s="117" t="s">
        <v>112</v>
      </c>
    </row>
    <row r="3" spans="1:25" ht="255.75" customHeight="1">
      <c r="A3" s="118">
        <v>1</v>
      </c>
      <c r="B3" s="119" t="s">
        <v>342</v>
      </c>
      <c r="C3" s="119" t="s">
        <v>113</v>
      </c>
      <c r="D3" s="119" t="s">
        <v>114</v>
      </c>
      <c r="E3" s="119" t="s">
        <v>343</v>
      </c>
      <c r="F3" s="119" t="s">
        <v>116</v>
      </c>
      <c r="G3" s="119" t="s">
        <v>117</v>
      </c>
      <c r="H3" s="1163" t="s">
        <v>344</v>
      </c>
      <c r="I3" s="119" t="s">
        <v>345</v>
      </c>
      <c r="J3" s="119" t="s">
        <v>118</v>
      </c>
      <c r="K3" s="119">
        <v>500</v>
      </c>
      <c r="L3" s="119" t="s">
        <v>346</v>
      </c>
      <c r="M3" s="119" t="s">
        <v>119</v>
      </c>
      <c r="N3" s="1165">
        <v>3660000</v>
      </c>
      <c r="O3" s="120" t="s">
        <v>334</v>
      </c>
      <c r="P3" s="120" t="s">
        <v>347</v>
      </c>
      <c r="Q3" s="120" t="s">
        <v>348</v>
      </c>
      <c r="R3" s="120" t="s">
        <v>349</v>
      </c>
      <c r="S3" s="120" t="s">
        <v>350</v>
      </c>
      <c r="T3" s="120" t="s">
        <v>351</v>
      </c>
      <c r="U3" s="120" t="s">
        <v>352</v>
      </c>
      <c r="V3" s="120" t="s">
        <v>353</v>
      </c>
      <c r="W3" s="119" t="s">
        <v>354</v>
      </c>
      <c r="X3" s="119" t="s">
        <v>355</v>
      </c>
      <c r="Y3" s="121"/>
    </row>
    <row r="4" spans="1:25" ht="47.25">
      <c r="A4" s="118"/>
      <c r="B4" s="119"/>
      <c r="C4" s="119"/>
      <c r="D4" s="119"/>
      <c r="E4" s="119"/>
      <c r="F4" s="119"/>
      <c r="G4" s="119"/>
      <c r="H4" s="1164"/>
      <c r="I4" s="119"/>
      <c r="J4" s="122" t="s">
        <v>118</v>
      </c>
      <c r="K4" s="123"/>
      <c r="L4" s="122"/>
      <c r="M4" s="122"/>
      <c r="N4" s="1166"/>
      <c r="O4" s="124"/>
      <c r="P4" s="119"/>
      <c r="Q4" s="119"/>
      <c r="R4" s="119"/>
      <c r="S4" s="119"/>
      <c r="T4" s="119"/>
      <c r="U4" s="119"/>
      <c r="V4" s="119"/>
      <c r="W4" s="122"/>
      <c r="X4" s="122"/>
      <c r="Y4" s="121"/>
    </row>
    <row r="5" spans="1:25" ht="48" customHeight="1">
      <c r="A5" s="118"/>
      <c r="B5" s="119"/>
      <c r="C5" s="119"/>
      <c r="D5" s="119"/>
      <c r="E5" s="119"/>
      <c r="F5" s="119"/>
      <c r="G5" s="119"/>
      <c r="H5" s="111" t="s">
        <v>356</v>
      </c>
      <c r="I5" s="119"/>
      <c r="J5" s="119"/>
      <c r="K5" s="119"/>
      <c r="L5" s="119"/>
      <c r="M5" s="119"/>
      <c r="N5" s="125">
        <v>700000</v>
      </c>
      <c r="O5" s="124"/>
      <c r="P5" s="119"/>
      <c r="Q5" s="119"/>
      <c r="R5" s="119"/>
      <c r="S5" s="119"/>
      <c r="T5" s="119"/>
      <c r="U5" s="119"/>
      <c r="V5" s="119"/>
      <c r="W5" s="122"/>
      <c r="X5" s="122"/>
      <c r="Y5" s="121"/>
    </row>
    <row r="6" spans="1:25" ht="60.75" customHeight="1">
      <c r="A6" s="118"/>
      <c r="B6" s="119"/>
      <c r="C6" s="119"/>
      <c r="D6" s="119"/>
      <c r="E6" s="119"/>
      <c r="F6" s="119"/>
      <c r="G6" s="119"/>
      <c r="H6" s="111" t="s">
        <v>357</v>
      </c>
      <c r="I6" s="119"/>
      <c r="J6" s="119"/>
      <c r="K6" s="119"/>
      <c r="L6" s="119"/>
      <c r="M6" s="119"/>
      <c r="N6" s="206">
        <v>11496000</v>
      </c>
      <c r="O6" s="124"/>
      <c r="P6" s="119"/>
      <c r="Q6" s="119"/>
      <c r="R6" s="119"/>
      <c r="S6" s="119"/>
      <c r="T6" s="119"/>
      <c r="U6" s="119"/>
      <c r="V6" s="119"/>
      <c r="W6" s="122"/>
      <c r="X6" s="122"/>
      <c r="Y6" s="121"/>
    </row>
    <row r="7" spans="1:25" ht="68.25" customHeight="1">
      <c r="A7" s="118"/>
      <c r="B7" s="119"/>
      <c r="C7" s="119"/>
      <c r="D7" s="119"/>
      <c r="E7" s="119"/>
      <c r="F7" s="119"/>
      <c r="G7" s="119"/>
      <c r="H7" s="127" t="s">
        <v>358</v>
      </c>
      <c r="I7" s="119"/>
      <c r="J7" s="119"/>
      <c r="K7" s="119"/>
      <c r="L7" s="119"/>
      <c r="M7" s="119"/>
      <c r="N7" s="206">
        <v>400000</v>
      </c>
      <c r="O7" s="124"/>
      <c r="P7" s="119"/>
      <c r="Q7" s="119"/>
      <c r="R7" s="119"/>
      <c r="S7" s="119"/>
      <c r="T7" s="119"/>
      <c r="U7" s="119"/>
      <c r="V7" s="119"/>
      <c r="W7" s="122"/>
      <c r="X7" s="122"/>
      <c r="Y7" s="121"/>
    </row>
    <row r="8" spans="1:25" ht="39" customHeight="1">
      <c r="A8" s="118"/>
      <c r="B8" s="119"/>
      <c r="C8" s="119"/>
      <c r="D8" s="119"/>
      <c r="E8" s="119"/>
      <c r="F8" s="119"/>
      <c r="G8" s="119"/>
      <c r="H8" s="128" t="s">
        <v>359</v>
      </c>
      <c r="I8" s="119"/>
      <c r="J8" s="119"/>
      <c r="K8" s="119"/>
      <c r="L8" s="119"/>
      <c r="M8" s="119"/>
      <c r="N8" s="206">
        <v>700000</v>
      </c>
      <c r="O8" s="124"/>
      <c r="P8" s="119"/>
      <c r="Q8" s="119"/>
      <c r="R8" s="119"/>
      <c r="S8" s="119"/>
      <c r="T8" s="119"/>
      <c r="U8" s="119"/>
      <c r="V8" s="119"/>
      <c r="W8" s="122"/>
      <c r="X8" s="122"/>
      <c r="Y8" s="121"/>
    </row>
    <row r="9" spans="1:25" ht="44.25" customHeight="1">
      <c r="A9" s="118"/>
      <c r="B9" s="119"/>
      <c r="C9" s="119"/>
      <c r="D9" s="119"/>
      <c r="E9" s="119"/>
      <c r="F9" s="119"/>
      <c r="G9" s="119"/>
      <c r="H9" s="128" t="s">
        <v>360</v>
      </c>
      <c r="I9" s="119"/>
      <c r="J9" s="119"/>
      <c r="K9" s="119"/>
      <c r="L9" s="119"/>
      <c r="M9" s="119"/>
      <c r="N9" s="206">
        <v>200000</v>
      </c>
      <c r="O9" s="124"/>
      <c r="P9" s="119"/>
      <c r="Q9" s="119"/>
      <c r="R9" s="119"/>
      <c r="S9" s="119"/>
      <c r="T9" s="119"/>
      <c r="U9" s="119"/>
      <c r="V9" s="119"/>
      <c r="W9" s="122"/>
      <c r="X9" s="122"/>
      <c r="Y9" s="121"/>
    </row>
    <row r="10" spans="1:25" ht="45.75" customHeight="1">
      <c r="A10" s="118"/>
      <c r="B10" s="119"/>
      <c r="C10" s="119"/>
      <c r="D10" s="119"/>
      <c r="E10" s="119"/>
      <c r="F10" s="119"/>
      <c r="G10" s="119"/>
      <c r="H10" s="129" t="s">
        <v>361</v>
      </c>
      <c r="I10" s="119"/>
      <c r="J10" s="119"/>
      <c r="K10" s="119"/>
      <c r="L10" s="119"/>
      <c r="M10" s="119"/>
      <c r="N10" s="206">
        <v>700000</v>
      </c>
      <c r="O10" s="124"/>
      <c r="P10" s="119"/>
      <c r="Q10" s="119"/>
      <c r="R10" s="119"/>
      <c r="S10" s="119"/>
      <c r="T10" s="119"/>
      <c r="U10" s="119"/>
      <c r="V10" s="119"/>
      <c r="W10" s="122"/>
      <c r="X10" s="122"/>
      <c r="Y10" s="121"/>
    </row>
    <row r="11" spans="1:25" ht="61.5" customHeight="1">
      <c r="A11" s="118"/>
      <c r="B11" s="119"/>
      <c r="C11" s="119"/>
      <c r="D11" s="119"/>
      <c r="E11" s="119"/>
      <c r="F11" s="119"/>
      <c r="G11" s="119"/>
      <c r="H11" s="129" t="s">
        <v>362</v>
      </c>
      <c r="I11" s="119"/>
      <c r="J11" s="119"/>
      <c r="K11" s="119"/>
      <c r="L11" s="119"/>
      <c r="M11" s="119"/>
      <c r="N11" s="206">
        <v>700000</v>
      </c>
      <c r="O11" s="124"/>
      <c r="P11" s="119"/>
      <c r="Q11" s="119"/>
      <c r="R11" s="119"/>
      <c r="S11" s="119"/>
      <c r="T11" s="119"/>
      <c r="U11" s="119"/>
      <c r="V11" s="119"/>
      <c r="W11" s="122"/>
      <c r="X11" s="122"/>
      <c r="Y11" s="121"/>
    </row>
    <row r="12" spans="1:25" ht="55.5" customHeight="1">
      <c r="A12" s="118"/>
      <c r="B12" s="119"/>
      <c r="C12" s="119"/>
      <c r="D12" s="119"/>
      <c r="E12" s="119"/>
      <c r="F12" s="119"/>
      <c r="G12" s="119"/>
      <c r="H12" s="111" t="s">
        <v>363</v>
      </c>
      <c r="I12" s="119"/>
      <c r="J12" s="119"/>
      <c r="K12" s="119"/>
      <c r="L12" s="119"/>
      <c r="M12" s="119"/>
      <c r="N12" s="206">
        <v>3500000</v>
      </c>
      <c r="O12" s="124"/>
      <c r="P12" s="119"/>
      <c r="Q12" s="119"/>
      <c r="R12" s="119"/>
      <c r="S12" s="119"/>
      <c r="T12" s="119"/>
      <c r="U12" s="119"/>
      <c r="V12" s="119"/>
      <c r="W12" s="122"/>
      <c r="X12" s="122"/>
      <c r="Y12" s="121"/>
    </row>
    <row r="13" spans="1:25" ht="54.75" customHeight="1">
      <c r="A13" s="118"/>
      <c r="B13" s="119"/>
      <c r="C13" s="119"/>
      <c r="D13" s="119"/>
      <c r="E13" s="119"/>
      <c r="F13" s="119"/>
      <c r="G13" s="119"/>
      <c r="H13" s="111" t="s">
        <v>364</v>
      </c>
      <c r="I13" s="119"/>
      <c r="J13" s="119"/>
      <c r="K13" s="119"/>
      <c r="L13" s="119"/>
      <c r="M13" s="119"/>
      <c r="N13" s="126">
        <v>700000</v>
      </c>
      <c r="O13" s="124"/>
      <c r="P13" s="119"/>
      <c r="Q13" s="119"/>
      <c r="R13" s="119"/>
      <c r="S13" s="119"/>
      <c r="T13" s="119"/>
      <c r="U13" s="119"/>
      <c r="V13" s="119"/>
      <c r="W13" s="122"/>
      <c r="X13" s="122"/>
      <c r="Y13" s="121"/>
    </row>
    <row r="14" spans="1:25" ht="64.5" customHeight="1">
      <c r="A14" s="118"/>
      <c r="B14" s="119"/>
      <c r="C14" s="119"/>
      <c r="D14" s="119"/>
      <c r="E14" s="119"/>
      <c r="F14" s="119"/>
      <c r="G14" s="119"/>
      <c r="H14" s="111" t="s">
        <v>365</v>
      </c>
      <c r="I14" s="119"/>
      <c r="J14" s="119"/>
      <c r="K14" s="119"/>
      <c r="L14" s="119"/>
      <c r="M14" s="119"/>
      <c r="N14" s="126">
        <v>25440000</v>
      </c>
      <c r="O14" s="124"/>
      <c r="P14" s="119"/>
      <c r="Q14" s="119"/>
      <c r="R14" s="119"/>
      <c r="S14" s="119"/>
      <c r="T14" s="119"/>
      <c r="U14" s="119"/>
      <c r="V14" s="119"/>
      <c r="W14" s="122"/>
      <c r="X14" s="122"/>
      <c r="Y14" s="121"/>
    </row>
    <row r="15" spans="1:25" ht="33.75" customHeight="1">
      <c r="A15" s="118">
        <v>7</v>
      </c>
      <c r="B15" s="1167" t="s">
        <v>366</v>
      </c>
      <c r="C15" s="1168"/>
      <c r="D15" s="1168"/>
      <c r="E15" s="1168"/>
      <c r="F15" s="1168"/>
      <c r="G15" s="1168"/>
      <c r="H15" s="1168"/>
      <c r="I15" s="1168"/>
      <c r="J15" s="1168"/>
      <c r="K15" s="1168"/>
      <c r="L15" s="1168"/>
      <c r="M15" s="1168"/>
      <c r="N15" s="1168"/>
      <c r="O15" s="1168"/>
      <c r="P15" s="1168"/>
      <c r="Q15" s="1168"/>
      <c r="R15" s="1168"/>
      <c r="S15" s="1168"/>
      <c r="T15" s="1168"/>
      <c r="U15" s="1168"/>
      <c r="V15" s="1168"/>
      <c r="W15" s="1168"/>
      <c r="X15" s="1168"/>
      <c r="Y15" s="1169"/>
    </row>
    <row r="16" spans="1:25" ht="24" thickBot="1">
      <c r="A16" s="1170" t="s">
        <v>367</v>
      </c>
      <c r="B16" s="1171"/>
      <c r="C16" s="1171"/>
      <c r="D16" s="1171"/>
      <c r="E16" s="1171"/>
      <c r="F16" s="1171"/>
      <c r="G16" s="1171"/>
      <c r="H16" s="1171"/>
      <c r="I16" s="1171" t="s">
        <v>368</v>
      </c>
      <c r="J16" s="1171"/>
      <c r="K16" s="1171"/>
      <c r="L16" s="1171"/>
      <c r="M16" s="1171"/>
      <c r="N16" s="1171"/>
      <c r="O16" s="1171"/>
      <c r="P16" s="1171"/>
      <c r="Q16" s="1171"/>
      <c r="R16" s="1171"/>
      <c r="S16" s="1171"/>
      <c r="T16" s="1171"/>
      <c r="U16" s="1171" t="s">
        <v>369</v>
      </c>
      <c r="V16" s="1171"/>
      <c r="W16" s="1171"/>
      <c r="X16" s="1171"/>
      <c r="Y16" s="1172"/>
    </row>
    <row r="17" spans="1:34">
      <c r="A17" s="1160"/>
      <c r="B17" s="1160"/>
      <c r="C17" s="1160"/>
      <c r="D17" s="1160"/>
      <c r="E17" s="1160"/>
      <c r="F17" s="1160"/>
      <c r="G17" s="1160"/>
      <c r="H17" s="1160"/>
      <c r="I17" s="1160"/>
      <c r="J17" s="1160"/>
      <c r="K17" s="1160"/>
      <c r="L17" s="1160"/>
      <c r="M17" s="1160"/>
      <c r="N17" s="1160"/>
      <c r="O17" s="1160"/>
      <c r="P17" s="1160"/>
      <c r="Q17" s="1160"/>
      <c r="R17" s="1160"/>
      <c r="S17" s="1160"/>
      <c r="T17" s="1160"/>
      <c r="U17" s="1160"/>
      <c r="V17" s="1160"/>
      <c r="W17" s="1160"/>
    </row>
    <row r="18" spans="1:34">
      <c r="A18" s="1161" t="s">
        <v>448</v>
      </c>
      <c r="B18" s="1161"/>
      <c r="C18" s="1161"/>
      <c r="D18" s="1161"/>
      <c r="E18" s="1161"/>
      <c r="F18" s="1161"/>
      <c r="G18" s="1161"/>
      <c r="H18" s="1161"/>
      <c r="I18" s="1161"/>
      <c r="J18" s="1161"/>
      <c r="K18" s="1161"/>
      <c r="L18" s="1161"/>
      <c r="M18" s="1161"/>
      <c r="N18" s="1161"/>
      <c r="O18" s="1161"/>
      <c r="P18" s="1161"/>
      <c r="Q18" s="1161"/>
      <c r="R18" s="1161"/>
      <c r="S18" s="1161"/>
      <c r="T18" s="1161"/>
      <c r="U18" s="1161"/>
      <c r="V18" s="1161"/>
      <c r="W18" s="1161"/>
    </row>
    <row r="19" spans="1:34">
      <c r="A19" s="1162" t="s">
        <v>449</v>
      </c>
      <c r="B19" s="1162"/>
      <c r="C19" s="1162"/>
      <c r="D19" s="1162"/>
      <c r="E19" s="1162"/>
      <c r="F19" s="1162"/>
      <c r="G19" s="1162"/>
      <c r="H19" s="1162"/>
      <c r="I19" s="1162"/>
      <c r="J19" s="1162"/>
      <c r="K19" s="1162"/>
      <c r="L19" s="1162"/>
      <c r="M19" s="1162"/>
      <c r="N19" s="1162"/>
      <c r="O19" s="1162"/>
      <c r="P19" s="1162"/>
      <c r="Q19" s="1162"/>
      <c r="R19" s="1162"/>
      <c r="S19" s="1162"/>
      <c r="T19" s="1162"/>
      <c r="U19" s="1162"/>
      <c r="V19" s="1162"/>
      <c r="W19" s="1162"/>
    </row>
    <row r="20" spans="1:34">
      <c r="A20" s="1162" t="s">
        <v>450</v>
      </c>
      <c r="B20" s="1162"/>
      <c r="C20" s="1162"/>
      <c r="D20" s="1162"/>
      <c r="E20" s="1162"/>
      <c r="F20" s="1162"/>
      <c r="G20" s="1162"/>
      <c r="H20" s="1162"/>
      <c r="I20" s="1162"/>
      <c r="J20" s="1162"/>
      <c r="K20" s="1162"/>
      <c r="L20" s="1162"/>
      <c r="M20" s="1162"/>
      <c r="N20" s="1162"/>
      <c r="O20" s="1162"/>
      <c r="P20" s="1162"/>
      <c r="Q20" s="1162"/>
      <c r="R20" s="1162"/>
      <c r="S20" s="1162"/>
      <c r="T20" s="1162"/>
      <c r="U20" s="1162"/>
      <c r="V20" s="1162"/>
      <c r="W20" s="1162"/>
    </row>
    <row r="21" spans="1:34">
      <c r="A21" s="1181" t="s">
        <v>451</v>
      </c>
      <c r="B21" s="1181"/>
      <c r="C21" s="1181"/>
      <c r="D21" s="1181"/>
      <c r="E21" s="1181"/>
      <c r="F21" s="1181"/>
      <c r="G21" s="1181"/>
      <c r="H21" s="1181"/>
      <c r="I21" s="1181"/>
      <c r="J21" s="1181"/>
      <c r="K21" s="1181"/>
      <c r="L21" s="1181"/>
      <c r="M21" s="1181"/>
      <c r="N21" s="1181"/>
      <c r="O21" s="1181"/>
      <c r="P21" s="1181"/>
      <c r="Q21" s="1181"/>
      <c r="R21" s="1181"/>
      <c r="S21" s="1181"/>
      <c r="T21" s="1181"/>
      <c r="U21" s="1181"/>
      <c r="V21" s="1181"/>
      <c r="W21" s="1181"/>
    </row>
    <row r="22" spans="1:34">
      <c r="A22" s="179"/>
      <c r="B22" s="179"/>
      <c r="C22" s="179"/>
      <c r="D22" s="179"/>
      <c r="E22" s="179"/>
      <c r="F22" s="179"/>
      <c r="G22" s="179"/>
      <c r="H22" s="179"/>
      <c r="I22" s="179"/>
      <c r="J22" s="179"/>
      <c r="K22" s="179"/>
      <c r="L22" s="179"/>
      <c r="M22" s="179"/>
      <c r="N22" s="179"/>
      <c r="O22" s="179"/>
      <c r="P22" s="179"/>
      <c r="Q22" s="179"/>
      <c r="R22" s="179"/>
      <c r="S22" s="179"/>
      <c r="T22" s="179"/>
      <c r="U22" s="179"/>
      <c r="V22" s="179"/>
      <c r="W22" s="179"/>
    </row>
    <row r="23" spans="1:34" ht="245.25">
      <c r="A23" s="180" t="s">
        <v>88</v>
      </c>
      <c r="B23" s="181" t="s">
        <v>89</v>
      </c>
      <c r="C23" s="180" t="s">
        <v>452</v>
      </c>
      <c r="D23" s="180" t="s">
        <v>453</v>
      </c>
      <c r="E23" s="180" t="s">
        <v>454</v>
      </c>
      <c r="F23" s="180" t="s">
        <v>94</v>
      </c>
      <c r="G23" s="180" t="s">
        <v>95</v>
      </c>
      <c r="H23" s="181" t="s">
        <v>455</v>
      </c>
      <c r="I23" s="180" t="s">
        <v>456</v>
      </c>
      <c r="J23" s="180" t="s">
        <v>457</v>
      </c>
      <c r="K23" s="182" t="s">
        <v>458</v>
      </c>
      <c r="L23" s="182" t="s">
        <v>459</v>
      </c>
      <c r="M23" s="180" t="s">
        <v>460</v>
      </c>
      <c r="N23" s="182" t="s">
        <v>461</v>
      </c>
      <c r="O23" s="180" t="s">
        <v>462</v>
      </c>
      <c r="P23" s="180" t="s">
        <v>463</v>
      </c>
      <c r="Q23" s="180" t="s">
        <v>464</v>
      </c>
      <c r="R23" s="180" t="s">
        <v>465</v>
      </c>
      <c r="S23" s="180" t="s">
        <v>466</v>
      </c>
      <c r="T23" s="182" t="s">
        <v>467</v>
      </c>
      <c r="U23" s="182" t="s">
        <v>468</v>
      </c>
      <c r="V23" s="180" t="s">
        <v>469</v>
      </c>
      <c r="W23" s="180" t="s">
        <v>112</v>
      </c>
    </row>
    <row r="24" spans="1:34" ht="75">
      <c r="A24" s="183">
        <v>1</v>
      </c>
      <c r="B24" s="1182" t="s">
        <v>470</v>
      </c>
      <c r="C24" s="1185" t="s">
        <v>114</v>
      </c>
      <c r="D24" s="1185" t="s">
        <v>115</v>
      </c>
      <c r="E24" s="1185" t="s">
        <v>139</v>
      </c>
      <c r="F24" s="1185" t="s">
        <v>471</v>
      </c>
      <c r="G24" s="3" t="s">
        <v>472</v>
      </c>
      <c r="H24" s="183"/>
      <c r="I24" s="183"/>
      <c r="J24" s="183"/>
      <c r="K24" s="183"/>
      <c r="L24" s="183" t="s">
        <v>473</v>
      </c>
      <c r="M24" s="183">
        <v>700000</v>
      </c>
      <c r="N24" s="183" t="s">
        <v>474</v>
      </c>
      <c r="O24" s="183"/>
      <c r="P24" s="183"/>
      <c r="Q24" s="183"/>
      <c r="R24" s="183"/>
      <c r="S24" s="183"/>
      <c r="T24" s="183"/>
      <c r="U24" s="183"/>
      <c r="V24" s="183"/>
      <c r="W24" s="183"/>
    </row>
    <row r="25" spans="1:34" ht="75">
      <c r="A25" s="183">
        <v>2</v>
      </c>
      <c r="B25" s="1183"/>
      <c r="C25" s="1185"/>
      <c r="D25" s="1185"/>
      <c r="E25" s="1185"/>
      <c r="F25" s="1185"/>
      <c r="G25" s="3" t="s">
        <v>475</v>
      </c>
      <c r="H25" s="183"/>
      <c r="I25" s="183"/>
      <c r="J25" s="183"/>
      <c r="K25" s="183"/>
      <c r="L25" s="183" t="s">
        <v>473</v>
      </c>
      <c r="M25" s="183">
        <v>1500000</v>
      </c>
      <c r="N25" s="183" t="s">
        <v>476</v>
      </c>
      <c r="O25" s="183"/>
      <c r="P25" s="183"/>
      <c r="Q25" s="183"/>
      <c r="R25" s="183"/>
      <c r="S25" s="183"/>
      <c r="T25" s="183"/>
      <c r="U25" s="183"/>
      <c r="V25" s="183"/>
      <c r="W25" s="183"/>
    </row>
    <row r="26" spans="1:34" ht="120">
      <c r="A26" s="183">
        <v>3</v>
      </c>
      <c r="B26" s="1183"/>
      <c r="C26" s="1185"/>
      <c r="D26" s="1185"/>
      <c r="E26" s="1185"/>
      <c r="F26" s="1185"/>
      <c r="G26" s="3" t="s">
        <v>477</v>
      </c>
      <c r="H26" s="183"/>
      <c r="I26" s="183"/>
      <c r="J26" s="183"/>
      <c r="K26" s="183"/>
      <c r="L26" s="183" t="s">
        <v>473</v>
      </c>
      <c r="M26" s="183">
        <v>3000000</v>
      </c>
      <c r="N26" s="183" t="s">
        <v>474</v>
      </c>
      <c r="O26" s="183"/>
      <c r="P26" s="183"/>
      <c r="Q26" s="183"/>
      <c r="R26" s="183"/>
      <c r="S26" s="183"/>
      <c r="T26" s="183"/>
      <c r="U26" s="183"/>
      <c r="V26" s="183"/>
      <c r="W26" s="183"/>
    </row>
    <row r="27" spans="1:34" ht="90">
      <c r="A27" s="183">
        <v>4</v>
      </c>
      <c r="B27" s="1183"/>
      <c r="C27" s="1185"/>
      <c r="D27" s="1185"/>
      <c r="E27" s="1185"/>
      <c r="F27" s="1185"/>
      <c r="G27" s="3" t="s">
        <v>478</v>
      </c>
      <c r="H27" s="183"/>
      <c r="I27" s="183"/>
      <c r="J27" s="183"/>
      <c r="K27" s="183"/>
      <c r="L27" s="183" t="s">
        <v>473</v>
      </c>
      <c r="M27" s="183">
        <v>750000</v>
      </c>
      <c r="N27" s="183" t="s">
        <v>474</v>
      </c>
      <c r="O27" s="183"/>
      <c r="P27" s="183"/>
      <c r="Q27" s="183"/>
      <c r="R27" s="183"/>
      <c r="S27" s="183"/>
      <c r="T27" s="183"/>
      <c r="U27" s="183"/>
      <c r="V27" s="183"/>
      <c r="W27" s="183"/>
    </row>
    <row r="28" spans="1:34" ht="75">
      <c r="A28" s="183">
        <v>5</v>
      </c>
      <c r="B28" s="1183"/>
      <c r="C28" s="1185"/>
      <c r="D28" s="1185"/>
      <c r="E28" s="1185"/>
      <c r="F28" s="1185"/>
      <c r="G28" s="3" t="s">
        <v>479</v>
      </c>
      <c r="H28" s="183"/>
      <c r="I28" s="183"/>
      <c r="J28" s="183"/>
      <c r="K28" s="183"/>
      <c r="L28" s="183" t="s">
        <v>473</v>
      </c>
      <c r="M28" s="183">
        <v>3000000</v>
      </c>
      <c r="N28" s="183" t="s">
        <v>474</v>
      </c>
      <c r="O28" s="183"/>
      <c r="P28" s="183"/>
      <c r="Q28" s="183"/>
      <c r="R28" s="183"/>
      <c r="S28" s="183"/>
      <c r="T28" s="183"/>
      <c r="U28" s="183"/>
      <c r="V28" s="183"/>
      <c r="W28" s="183"/>
    </row>
    <row r="29" spans="1:34" ht="105.75" thickBot="1">
      <c r="A29" s="183">
        <v>6</v>
      </c>
      <c r="B29" s="1184"/>
      <c r="C29" s="1185"/>
      <c r="D29" s="1185"/>
      <c r="E29" s="1185"/>
      <c r="F29" s="1185"/>
      <c r="G29" s="112" t="s">
        <v>338</v>
      </c>
      <c r="H29" s="183"/>
      <c r="I29" s="183"/>
      <c r="J29" s="183"/>
      <c r="K29" s="183"/>
      <c r="L29" s="183" t="s">
        <v>473</v>
      </c>
      <c r="M29" s="183">
        <v>1000000</v>
      </c>
      <c r="N29" s="183" t="s">
        <v>474</v>
      </c>
      <c r="O29" s="183"/>
      <c r="P29" s="183"/>
      <c r="Q29" s="183"/>
      <c r="R29" s="183"/>
      <c r="S29" s="183"/>
      <c r="T29" s="183"/>
      <c r="U29" s="183"/>
      <c r="V29" s="183"/>
      <c r="W29" s="183"/>
    </row>
    <row r="30" spans="1:34" ht="25.5">
      <c r="A30" s="1173" t="s">
        <v>341</v>
      </c>
      <c r="B30" s="1174"/>
      <c r="C30" s="1174"/>
      <c r="D30" s="1174"/>
      <c r="E30" s="1174"/>
      <c r="F30" s="1174"/>
      <c r="G30" s="1174"/>
      <c r="H30" s="1174"/>
      <c r="I30" s="1174"/>
      <c r="J30" s="1174"/>
      <c r="K30" s="1174"/>
      <c r="L30" s="1174"/>
      <c r="M30" s="1174"/>
      <c r="N30" s="1174"/>
      <c r="O30" s="1174"/>
      <c r="P30" s="1174"/>
      <c r="Q30" s="1174"/>
      <c r="R30" s="1174"/>
      <c r="S30" s="1174"/>
      <c r="T30" s="1174"/>
      <c r="U30" s="1174"/>
      <c r="V30" s="1174"/>
      <c r="W30" s="1174"/>
      <c r="X30" s="1174"/>
      <c r="Y30" s="1174"/>
      <c r="Z30" s="1174"/>
      <c r="AA30" s="1174"/>
      <c r="AB30" s="1174"/>
      <c r="AC30" s="1174"/>
      <c r="AD30" s="1174"/>
      <c r="AE30" s="1174"/>
      <c r="AF30" s="1174"/>
      <c r="AG30" s="1174"/>
      <c r="AH30" s="1175"/>
    </row>
    <row r="31" spans="1:34" ht="365.25">
      <c r="A31" s="115" t="s">
        <v>88</v>
      </c>
      <c r="B31" s="116" t="s">
        <v>89</v>
      </c>
      <c r="C31" s="116" t="s">
        <v>90</v>
      </c>
      <c r="D31" s="116" t="s">
        <v>91</v>
      </c>
      <c r="E31" s="116" t="s">
        <v>556</v>
      </c>
      <c r="F31" s="116" t="s">
        <v>92</v>
      </c>
      <c r="G31" s="116" t="s">
        <v>93</v>
      </c>
      <c r="H31" s="116" t="s">
        <v>557</v>
      </c>
      <c r="I31" s="116" t="s">
        <v>14</v>
      </c>
      <c r="J31" s="116" t="s">
        <v>15</v>
      </c>
      <c r="K31" s="116" t="s">
        <v>94</v>
      </c>
      <c r="L31" s="116" t="s">
        <v>95</v>
      </c>
      <c r="M31" s="116" t="s">
        <v>558</v>
      </c>
      <c r="N31" s="116" t="s">
        <v>559</v>
      </c>
      <c r="O31" s="116" t="s">
        <v>96</v>
      </c>
      <c r="P31" s="116" t="s">
        <v>560</v>
      </c>
      <c r="Q31" s="116" t="s">
        <v>561</v>
      </c>
      <c r="R31" s="116" t="s">
        <v>97</v>
      </c>
      <c r="S31" s="116" t="s">
        <v>98</v>
      </c>
      <c r="T31" s="116" t="s">
        <v>562</v>
      </c>
      <c r="U31" s="116" t="s">
        <v>101</v>
      </c>
      <c r="V31" s="116" t="s">
        <v>99</v>
      </c>
      <c r="W31" s="116" t="s">
        <v>100</v>
      </c>
      <c r="X31" s="116" t="s">
        <v>102</v>
      </c>
      <c r="Y31" s="116" t="s">
        <v>563</v>
      </c>
      <c r="Z31" s="116" t="s">
        <v>103</v>
      </c>
      <c r="AA31" s="116" t="s">
        <v>104</v>
      </c>
      <c r="AB31" s="116" t="s">
        <v>106</v>
      </c>
      <c r="AC31" s="116" t="s">
        <v>107</v>
      </c>
      <c r="AD31" s="116" t="s">
        <v>108</v>
      </c>
      <c r="AE31" s="116" t="s">
        <v>109</v>
      </c>
      <c r="AF31" s="116" t="s">
        <v>564</v>
      </c>
      <c r="AG31" s="116" t="s">
        <v>565</v>
      </c>
      <c r="AH31" s="117" t="s">
        <v>112</v>
      </c>
    </row>
    <row r="32" spans="1:34" ht="183.75">
      <c r="A32" s="118">
        <v>1</v>
      </c>
      <c r="B32" s="119" t="s">
        <v>342</v>
      </c>
      <c r="C32" s="119" t="s">
        <v>113</v>
      </c>
      <c r="D32" s="119" t="s">
        <v>114</v>
      </c>
      <c r="E32" s="119"/>
      <c r="F32" s="119" t="s">
        <v>343</v>
      </c>
      <c r="G32" s="119" t="s">
        <v>116</v>
      </c>
      <c r="H32" s="119"/>
      <c r="I32" s="119"/>
      <c r="J32" s="119"/>
      <c r="K32" s="119" t="s">
        <v>117</v>
      </c>
      <c r="L32" s="304"/>
      <c r="M32" s="305"/>
      <c r="N32" s="305"/>
      <c r="O32" s="119" t="s">
        <v>345</v>
      </c>
      <c r="P32" s="119"/>
      <c r="Q32" s="119"/>
      <c r="R32" s="119" t="s">
        <v>118</v>
      </c>
      <c r="S32" s="119">
        <v>500</v>
      </c>
      <c r="T32" s="119"/>
      <c r="U32" s="119"/>
      <c r="V32" s="119" t="s">
        <v>346</v>
      </c>
      <c r="W32" s="119" t="s">
        <v>119</v>
      </c>
      <c r="X32" s="120" t="s">
        <v>334</v>
      </c>
      <c r="Y32" s="120"/>
      <c r="Z32" s="120" t="s">
        <v>347</v>
      </c>
      <c r="AA32" s="120" t="s">
        <v>348</v>
      </c>
      <c r="AB32" s="120" t="s">
        <v>350</v>
      </c>
      <c r="AC32" s="120" t="s">
        <v>351</v>
      </c>
      <c r="AD32" s="120" t="s">
        <v>352</v>
      </c>
      <c r="AE32" s="120" t="s">
        <v>353</v>
      </c>
      <c r="AF32" s="119" t="s">
        <v>354</v>
      </c>
      <c r="AG32" s="119" t="s">
        <v>355</v>
      </c>
      <c r="AH32" s="306"/>
    </row>
    <row r="33" spans="1:34" ht="41.25">
      <c r="A33" s="118"/>
      <c r="B33" s="119"/>
      <c r="C33" s="119"/>
      <c r="D33" s="119"/>
      <c r="E33" s="119"/>
      <c r="F33" s="119"/>
      <c r="G33" s="119"/>
      <c r="H33" s="119" t="s">
        <v>63</v>
      </c>
      <c r="I33" s="119"/>
      <c r="J33" s="119"/>
      <c r="K33" s="119"/>
      <c r="L33" s="341" t="s">
        <v>566</v>
      </c>
      <c r="M33" s="341"/>
      <c r="N33" s="305"/>
      <c r="O33" s="119"/>
      <c r="P33" s="119"/>
      <c r="Q33" s="119"/>
      <c r="R33" s="123"/>
      <c r="S33" s="123"/>
      <c r="T33" s="123"/>
      <c r="U33" s="336">
        <v>600000</v>
      </c>
      <c r="V33" s="123"/>
      <c r="W33" s="123"/>
      <c r="X33" s="307"/>
      <c r="Y33" s="307"/>
      <c r="Z33" s="123"/>
      <c r="AA33" s="123"/>
      <c r="AB33" s="123"/>
      <c r="AC33" s="123"/>
      <c r="AD33" s="123"/>
      <c r="AE33" s="123"/>
      <c r="AF33" s="123"/>
      <c r="AG33" s="123"/>
      <c r="AH33" s="306"/>
    </row>
    <row r="34" spans="1:34" ht="50.25">
      <c r="A34" s="118"/>
      <c r="B34" s="119"/>
      <c r="C34" s="119"/>
      <c r="D34" s="119"/>
      <c r="E34" s="119"/>
      <c r="F34" s="119"/>
      <c r="G34" s="119"/>
      <c r="H34" s="119" t="s">
        <v>57</v>
      </c>
      <c r="I34" s="119"/>
      <c r="J34" s="119"/>
      <c r="K34" s="119"/>
      <c r="L34" s="345" t="s">
        <v>567</v>
      </c>
      <c r="M34" s="342"/>
      <c r="N34" s="111"/>
      <c r="O34" s="119"/>
      <c r="P34" s="119"/>
      <c r="Q34" s="119"/>
      <c r="R34" s="123"/>
      <c r="S34" s="123"/>
      <c r="T34" s="123"/>
      <c r="U34" s="337">
        <v>14436000</v>
      </c>
      <c r="V34" s="123"/>
      <c r="W34" s="123"/>
      <c r="X34" s="307"/>
      <c r="Y34" s="307"/>
      <c r="Z34" s="123"/>
      <c r="AA34" s="123"/>
      <c r="AB34" s="123"/>
      <c r="AC34" s="123"/>
      <c r="AD34" s="123"/>
      <c r="AE34" s="123"/>
      <c r="AF34" s="123"/>
      <c r="AG34" s="123"/>
      <c r="AH34" s="306"/>
    </row>
    <row r="35" spans="1:34" ht="39">
      <c r="A35" s="118"/>
      <c r="B35" s="119"/>
      <c r="C35" s="119"/>
      <c r="D35" s="119"/>
      <c r="E35" s="119"/>
      <c r="F35" s="119"/>
      <c r="G35" s="119"/>
      <c r="H35" s="119" t="s">
        <v>57</v>
      </c>
      <c r="I35" s="119"/>
      <c r="J35" s="119"/>
      <c r="K35" s="119"/>
      <c r="L35" s="345" t="s">
        <v>508</v>
      </c>
      <c r="M35" s="342"/>
      <c r="N35" s="111"/>
      <c r="O35" s="119"/>
      <c r="P35" s="119"/>
      <c r="Q35" s="119"/>
      <c r="R35" s="123"/>
      <c r="S35" s="123"/>
      <c r="T35" s="123"/>
      <c r="U35" s="338">
        <v>977678</v>
      </c>
      <c r="V35" s="123"/>
      <c r="W35" s="123"/>
      <c r="X35" s="307"/>
      <c r="Y35" s="307"/>
      <c r="Z35" s="123"/>
      <c r="AA35" s="123"/>
      <c r="AB35" s="123"/>
      <c r="AC35" s="123"/>
      <c r="AD35" s="123"/>
      <c r="AE35" s="123"/>
      <c r="AF35" s="123"/>
      <c r="AG35" s="123"/>
      <c r="AH35" s="306"/>
    </row>
    <row r="36" spans="1:34" ht="45.75">
      <c r="A36" s="118"/>
      <c r="B36" s="119"/>
      <c r="C36" s="119"/>
      <c r="D36" s="119"/>
      <c r="E36" s="119"/>
      <c r="F36" s="119"/>
      <c r="G36" s="119"/>
      <c r="H36" s="119" t="s">
        <v>58</v>
      </c>
      <c r="I36" s="119"/>
      <c r="J36" s="119"/>
      <c r="K36" s="119"/>
      <c r="L36" s="345" t="s">
        <v>568</v>
      </c>
      <c r="M36" s="342"/>
      <c r="N36" s="127"/>
      <c r="O36" s="119"/>
      <c r="P36" s="119"/>
      <c r="Q36" s="119"/>
      <c r="R36" s="123"/>
      <c r="S36" s="123"/>
      <c r="T36" s="123"/>
      <c r="U36" s="338">
        <v>2202200</v>
      </c>
      <c r="V36" s="123"/>
      <c r="W36" s="123"/>
      <c r="X36" s="307"/>
      <c r="Y36" s="307"/>
      <c r="Z36" s="123"/>
      <c r="AA36" s="123"/>
      <c r="AB36" s="123"/>
      <c r="AC36" s="123"/>
      <c r="AD36" s="123"/>
      <c r="AE36" s="123"/>
      <c r="AF36" s="123"/>
      <c r="AG36" s="123"/>
      <c r="AH36" s="306"/>
    </row>
    <row r="37" spans="1:34" ht="42">
      <c r="A37" s="118"/>
      <c r="B37" s="119"/>
      <c r="C37" s="119"/>
      <c r="D37" s="119"/>
      <c r="E37" s="119"/>
      <c r="F37" s="119"/>
      <c r="G37" s="119"/>
      <c r="H37" s="119" t="s">
        <v>74</v>
      </c>
      <c r="I37" s="119"/>
      <c r="J37" s="119"/>
      <c r="K37" s="119"/>
      <c r="L37" s="346" t="s">
        <v>569</v>
      </c>
      <c r="M37" s="343"/>
      <c r="N37" s="128"/>
      <c r="O37" s="119"/>
      <c r="P37" s="119"/>
      <c r="Q37" s="119"/>
      <c r="R37" s="123"/>
      <c r="S37" s="123"/>
      <c r="T37" s="123"/>
      <c r="U37" s="338">
        <v>480000</v>
      </c>
      <c r="V37" s="123"/>
      <c r="W37" s="123"/>
      <c r="X37" s="307"/>
      <c r="Y37" s="307"/>
      <c r="Z37" s="123"/>
      <c r="AA37" s="123"/>
      <c r="AB37" s="123"/>
      <c r="AC37" s="123"/>
      <c r="AD37" s="123"/>
      <c r="AE37" s="123"/>
      <c r="AF37" s="123"/>
      <c r="AG37" s="123"/>
      <c r="AH37" s="306"/>
    </row>
    <row r="38" spans="1:34" ht="42">
      <c r="A38" s="118"/>
      <c r="B38" s="119"/>
      <c r="C38" s="119"/>
      <c r="D38" s="119"/>
      <c r="E38" s="119"/>
      <c r="F38" s="119"/>
      <c r="G38" s="119"/>
      <c r="H38" s="119" t="s">
        <v>74</v>
      </c>
      <c r="I38" s="119"/>
      <c r="J38" s="119"/>
      <c r="K38" s="119"/>
      <c r="L38" s="346" t="s">
        <v>509</v>
      </c>
      <c r="M38" s="343"/>
      <c r="N38" s="128"/>
      <c r="O38" s="119"/>
      <c r="P38" s="119"/>
      <c r="Q38" s="119"/>
      <c r="R38" s="123"/>
      <c r="S38" s="123"/>
      <c r="T38" s="123"/>
      <c r="U38" s="338">
        <v>900000</v>
      </c>
      <c r="V38" s="123"/>
      <c r="W38" s="123"/>
      <c r="X38" s="307"/>
      <c r="Y38" s="307"/>
      <c r="Z38" s="123"/>
      <c r="AA38" s="123"/>
      <c r="AB38" s="123"/>
      <c r="AC38" s="123"/>
      <c r="AD38" s="123"/>
      <c r="AE38" s="123"/>
      <c r="AF38" s="123"/>
      <c r="AG38" s="123"/>
      <c r="AH38" s="306"/>
    </row>
    <row r="39" spans="1:34" ht="76.5" customHeight="1">
      <c r="A39" s="118"/>
      <c r="B39" s="119"/>
      <c r="C39" s="119"/>
      <c r="D39" s="119"/>
      <c r="E39" s="119"/>
      <c r="F39" s="119"/>
      <c r="G39" s="119"/>
      <c r="H39" s="119" t="s">
        <v>570</v>
      </c>
      <c r="I39" s="119"/>
      <c r="J39" s="119"/>
      <c r="K39" s="119"/>
      <c r="L39" s="344" t="s">
        <v>361</v>
      </c>
      <c r="M39" s="344"/>
      <c r="N39" s="129"/>
      <c r="O39" s="119"/>
      <c r="P39" s="119"/>
      <c r="Q39" s="119"/>
      <c r="R39" s="123"/>
      <c r="S39" s="123"/>
      <c r="T39" s="123"/>
      <c r="U39" s="338">
        <v>700000</v>
      </c>
      <c r="V39" s="123"/>
      <c r="W39" s="123"/>
      <c r="X39" s="307"/>
      <c r="Y39" s="307"/>
      <c r="Z39" s="123"/>
      <c r="AA39" s="123"/>
      <c r="AB39" s="123"/>
      <c r="AC39" s="123"/>
      <c r="AD39" s="123"/>
      <c r="AE39" s="123"/>
      <c r="AF39" s="123"/>
      <c r="AG39" s="123"/>
      <c r="AH39" s="306"/>
    </row>
    <row r="40" spans="1:34" ht="93.75" customHeight="1">
      <c r="A40" s="118"/>
      <c r="B40" s="119"/>
      <c r="C40" s="119"/>
      <c r="D40" s="119"/>
      <c r="E40" s="119"/>
      <c r="F40" s="119"/>
      <c r="G40" s="119"/>
      <c r="H40" s="119" t="s">
        <v>79</v>
      </c>
      <c r="I40" s="119"/>
      <c r="J40" s="119"/>
      <c r="K40" s="119"/>
      <c r="L40" s="339" t="s">
        <v>362</v>
      </c>
      <c r="M40" s="340"/>
      <c r="N40" s="129"/>
      <c r="O40" s="119"/>
      <c r="P40" s="119"/>
      <c r="Q40" s="119"/>
      <c r="R40" s="123"/>
      <c r="S40" s="123"/>
      <c r="T40" s="123"/>
      <c r="U40" s="338">
        <v>700000</v>
      </c>
      <c r="V40" s="123"/>
      <c r="W40" s="123"/>
      <c r="X40" s="307"/>
      <c r="Y40" s="307"/>
      <c r="Z40" s="123"/>
      <c r="AA40" s="123"/>
      <c r="AB40" s="123"/>
      <c r="AC40" s="123"/>
      <c r="AD40" s="123"/>
      <c r="AE40" s="123"/>
      <c r="AF40" s="123"/>
      <c r="AG40" s="123"/>
      <c r="AH40" s="306"/>
    </row>
    <row r="41" spans="1:34" ht="24" thickBot="1">
      <c r="A41" s="1176" t="s">
        <v>571</v>
      </c>
      <c r="B41" s="1177"/>
      <c r="C41" s="1177"/>
      <c r="D41" s="1177"/>
      <c r="E41" s="1177"/>
      <c r="F41" s="1177"/>
      <c r="G41" s="1177"/>
      <c r="H41" s="1177"/>
      <c r="I41" s="1177"/>
      <c r="J41" s="1177"/>
      <c r="K41" s="1177"/>
      <c r="L41" s="1178"/>
      <c r="M41" s="289"/>
      <c r="N41" s="289"/>
      <c r="O41" s="1179" t="s">
        <v>572</v>
      </c>
      <c r="P41" s="1177"/>
      <c r="Q41" s="1177"/>
      <c r="R41" s="1177"/>
      <c r="S41" s="1177"/>
      <c r="T41" s="1177"/>
      <c r="U41" s="1177"/>
      <c r="V41" s="1177"/>
      <c r="W41" s="1177"/>
      <c r="X41" s="1177"/>
      <c r="Y41" s="1177"/>
      <c r="Z41" s="1177"/>
      <c r="AA41" s="1177"/>
      <c r="AB41" s="1177"/>
      <c r="AC41" s="1178"/>
      <c r="AD41" s="1179" t="s">
        <v>573</v>
      </c>
      <c r="AE41" s="1177"/>
      <c r="AF41" s="1177"/>
      <c r="AG41" s="1177"/>
      <c r="AH41" s="1180"/>
    </row>
  </sheetData>
  <mergeCells count="21">
    <mergeCell ref="A30:AH30"/>
    <mergeCell ref="A41:L41"/>
    <mergeCell ref="O41:AC41"/>
    <mergeCell ref="AD41:AH41"/>
    <mergeCell ref="A21:W21"/>
    <mergeCell ref="B24:B29"/>
    <mergeCell ref="C24:C29"/>
    <mergeCell ref="D24:D29"/>
    <mergeCell ref="E24:E29"/>
    <mergeCell ref="F24:F29"/>
    <mergeCell ref="A1:Y1"/>
    <mergeCell ref="A17:W17"/>
    <mergeCell ref="A18:W18"/>
    <mergeCell ref="A19:W19"/>
    <mergeCell ref="A20:W20"/>
    <mergeCell ref="H3:H4"/>
    <mergeCell ref="N3:N4"/>
    <mergeCell ref="B15:Y15"/>
    <mergeCell ref="A16:H16"/>
    <mergeCell ref="I16:T16"/>
    <mergeCell ref="U16:Y16"/>
  </mergeCells>
  <printOptions horizontalCentered="1"/>
  <pageMargins left="0.25" right="0.25" top="0.54" bottom="0.75" header="0.3" footer="0.3"/>
  <pageSetup paperSize="9" scale="60" orientation="landscape" r:id="rId1"/>
  <rowBreaks count="1" manualBreakCount="1">
    <brk id="1"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rightToLeft="1" view="pageBreakPreview" zoomScale="90" zoomScaleSheetLayoutView="90" workbookViewId="0">
      <selection activeCell="A5" sqref="A5"/>
    </sheetView>
  </sheetViews>
  <sheetFormatPr defaultRowHeight="18.75"/>
  <cols>
    <col min="1" max="1" width="6.42578125" style="823" customWidth="1"/>
    <col min="2" max="2" width="5.7109375" style="823" customWidth="1"/>
    <col min="3" max="3" width="18.28515625" style="823" customWidth="1"/>
    <col min="4" max="5" width="13.7109375" style="823" customWidth="1"/>
    <col min="6" max="6" width="4" style="823" customWidth="1"/>
    <col min="7" max="7" width="8.5703125" style="823" customWidth="1"/>
    <col min="8" max="8" width="9.85546875" style="823" customWidth="1"/>
    <col min="9" max="9" width="13.42578125" style="823" customWidth="1"/>
    <col min="10" max="11" width="7.85546875" style="823" customWidth="1"/>
    <col min="12" max="12" width="9.7109375" style="823" customWidth="1"/>
    <col min="13" max="13" width="10.42578125" style="826" customWidth="1"/>
    <col min="14" max="14" width="10.7109375" style="823" customWidth="1"/>
    <col min="15" max="15" width="11.28515625" style="823" customWidth="1"/>
    <col min="16" max="16" width="11.5703125" style="823" customWidth="1"/>
    <col min="17" max="17" width="10.140625" style="823" customWidth="1"/>
    <col min="18" max="18" width="10" style="823" customWidth="1"/>
    <col min="19" max="19" width="11.28515625" style="823" customWidth="1"/>
    <col min="20" max="20" width="9.85546875" style="823" customWidth="1"/>
    <col min="21" max="21" width="10.7109375" style="823" customWidth="1"/>
    <col min="22" max="22" width="6.7109375" style="823" customWidth="1"/>
    <col min="23" max="16384" width="9.140625" style="823"/>
  </cols>
  <sheetData>
    <row r="1" spans="1:23" ht="18" customHeight="1">
      <c r="A1" s="1187" t="s">
        <v>622</v>
      </c>
      <c r="B1" s="1188"/>
      <c r="C1" s="1189">
        <v>1397</v>
      </c>
      <c r="D1" s="1189"/>
      <c r="E1" s="1190"/>
      <c r="H1" s="1191" t="s">
        <v>1066</v>
      </c>
      <c r="I1" s="1191"/>
      <c r="J1" s="1191"/>
      <c r="K1" s="1191"/>
      <c r="L1" s="1191"/>
      <c r="M1" s="1191"/>
      <c r="N1" s="1191"/>
      <c r="O1" s="1191"/>
      <c r="P1" s="1191"/>
      <c r="Q1" s="1191"/>
      <c r="R1" s="1191"/>
      <c r="S1" s="1191"/>
      <c r="T1" s="1191"/>
      <c r="U1" s="824"/>
      <c r="V1" s="824"/>
    </row>
    <row r="2" spans="1:23" ht="18" customHeight="1">
      <c r="A2" s="1192" t="s">
        <v>1067</v>
      </c>
      <c r="B2" s="1193"/>
      <c r="C2" s="1194" t="s">
        <v>1068</v>
      </c>
      <c r="D2" s="1194"/>
      <c r="E2" s="1195"/>
      <c r="H2" s="1196" t="s">
        <v>1069</v>
      </c>
      <c r="I2" s="1196"/>
      <c r="J2" s="1196"/>
      <c r="K2" s="1196"/>
      <c r="L2" s="1196"/>
      <c r="M2" s="1196"/>
      <c r="N2" s="1196"/>
      <c r="O2" s="1196"/>
      <c r="P2" s="1196"/>
      <c r="Q2" s="1196"/>
      <c r="R2" s="1196"/>
      <c r="S2" s="1196"/>
      <c r="T2" s="1196"/>
      <c r="U2" s="825"/>
      <c r="V2" s="825"/>
    </row>
    <row r="3" spans="1:23" ht="18" customHeight="1">
      <c r="A3" s="1192" t="s">
        <v>1070</v>
      </c>
      <c r="B3" s="1193"/>
      <c r="C3" s="1194" t="s">
        <v>1071</v>
      </c>
      <c r="D3" s="1194"/>
      <c r="E3" s="1195"/>
      <c r="H3" s="1196"/>
      <c r="I3" s="1196"/>
      <c r="J3" s="1196"/>
      <c r="K3" s="1196"/>
      <c r="L3" s="1196"/>
      <c r="M3" s="1196"/>
      <c r="N3" s="1196"/>
      <c r="O3" s="1196"/>
      <c r="P3" s="1196"/>
      <c r="Q3" s="1196"/>
      <c r="R3" s="1196"/>
      <c r="S3" s="1196"/>
      <c r="T3" s="1196"/>
      <c r="U3" s="825"/>
      <c r="V3" s="825"/>
    </row>
    <row r="4" spans="1:23" ht="18" customHeight="1" thickBot="1">
      <c r="A4" s="1198" t="s">
        <v>372</v>
      </c>
      <c r="B4" s="1199"/>
      <c r="C4" s="1200" t="s">
        <v>1072</v>
      </c>
      <c r="D4" s="1200"/>
      <c r="E4" s="1201"/>
      <c r="H4" s="1191" t="s">
        <v>1073</v>
      </c>
      <c r="I4" s="1191"/>
      <c r="J4" s="1191"/>
      <c r="K4" s="1191"/>
      <c r="L4" s="1191"/>
      <c r="M4" s="1191"/>
      <c r="N4" s="1191"/>
      <c r="O4" s="1191"/>
      <c r="P4" s="1191"/>
      <c r="Q4" s="1191"/>
      <c r="R4" s="1191"/>
      <c r="S4" s="1191"/>
      <c r="T4" s="1191"/>
      <c r="U4" s="824"/>
      <c r="V4" s="824"/>
    </row>
    <row r="5" spans="1:23" ht="6.75" customHeight="1" thickBot="1">
      <c r="M5" s="823"/>
    </row>
    <row r="6" spans="1:23" ht="19.5" customHeight="1">
      <c r="A6" s="1202" t="s">
        <v>88</v>
      </c>
      <c r="B6" s="1204" t="s">
        <v>1074</v>
      </c>
      <c r="C6" s="1206" t="s">
        <v>1075</v>
      </c>
      <c r="D6" s="1206"/>
      <c r="E6" s="1206"/>
      <c r="F6" s="1206"/>
      <c r="G6" s="1208" t="s">
        <v>1076</v>
      </c>
      <c r="H6" s="1209"/>
      <c r="I6" s="1210" t="s">
        <v>1077</v>
      </c>
      <c r="J6" s="1206" t="s">
        <v>1078</v>
      </c>
      <c r="K6" s="1206"/>
      <c r="L6" s="1206"/>
      <c r="M6" s="1206"/>
      <c r="N6" s="1206"/>
      <c r="O6" s="1206"/>
      <c r="P6" s="1206"/>
      <c r="Q6" s="1206"/>
      <c r="R6" s="1206"/>
      <c r="S6" s="1206"/>
      <c r="T6" s="1206"/>
      <c r="U6" s="1206"/>
      <c r="V6" s="1218" t="s">
        <v>112</v>
      </c>
    </row>
    <row r="7" spans="1:23" ht="29.25" customHeight="1">
      <c r="A7" s="1203"/>
      <c r="B7" s="1205"/>
      <c r="C7" s="1207"/>
      <c r="D7" s="1207"/>
      <c r="E7" s="1207"/>
      <c r="F7" s="1207"/>
      <c r="G7" s="850" t="s">
        <v>557</v>
      </c>
      <c r="H7" s="850" t="s">
        <v>14</v>
      </c>
      <c r="I7" s="1211"/>
      <c r="J7" s="850" t="s">
        <v>276</v>
      </c>
      <c r="K7" s="850" t="s">
        <v>277</v>
      </c>
      <c r="L7" s="850" t="s">
        <v>278</v>
      </c>
      <c r="M7" s="850" t="s">
        <v>279</v>
      </c>
      <c r="N7" s="850" t="s">
        <v>280</v>
      </c>
      <c r="O7" s="850" t="s">
        <v>281</v>
      </c>
      <c r="P7" s="850" t="s">
        <v>282</v>
      </c>
      <c r="Q7" s="850" t="s">
        <v>283</v>
      </c>
      <c r="R7" s="850" t="s">
        <v>284</v>
      </c>
      <c r="S7" s="850" t="s">
        <v>285</v>
      </c>
      <c r="T7" s="850" t="s">
        <v>286</v>
      </c>
      <c r="U7" s="850" t="s">
        <v>287</v>
      </c>
      <c r="V7" s="1219"/>
      <c r="W7" s="827"/>
    </row>
    <row r="8" spans="1:23" s="829" customFormat="1">
      <c r="A8" s="851"/>
      <c r="B8" s="852">
        <v>22</v>
      </c>
      <c r="C8" s="1220" t="s">
        <v>1079</v>
      </c>
      <c r="D8" s="1221"/>
      <c r="E8" s="1221"/>
      <c r="F8" s="1222"/>
      <c r="G8" s="1215" t="s">
        <v>23</v>
      </c>
      <c r="H8" s="853" t="s">
        <v>788</v>
      </c>
      <c r="I8" s="935">
        <v>1248000</v>
      </c>
      <c r="J8" s="935"/>
      <c r="K8" s="935"/>
      <c r="L8" s="935">
        <f>104000*3</f>
        <v>312000</v>
      </c>
      <c r="M8" s="935">
        <f t="shared" ref="M8:U8" si="0">1248000/12</f>
        <v>104000</v>
      </c>
      <c r="N8" s="935">
        <f t="shared" si="0"/>
        <v>104000</v>
      </c>
      <c r="O8" s="935">
        <f t="shared" si="0"/>
        <v>104000</v>
      </c>
      <c r="P8" s="935">
        <f t="shared" si="0"/>
        <v>104000</v>
      </c>
      <c r="Q8" s="935">
        <f t="shared" si="0"/>
        <v>104000</v>
      </c>
      <c r="R8" s="935">
        <f t="shared" si="0"/>
        <v>104000</v>
      </c>
      <c r="S8" s="935">
        <f t="shared" si="0"/>
        <v>104000</v>
      </c>
      <c r="T8" s="935">
        <f t="shared" si="0"/>
        <v>104000</v>
      </c>
      <c r="U8" s="935">
        <f t="shared" si="0"/>
        <v>104000</v>
      </c>
      <c r="V8" s="854"/>
      <c r="W8" s="828"/>
    </row>
    <row r="9" spans="1:23" s="831" customFormat="1" ht="21">
      <c r="A9" s="855"/>
      <c r="B9" s="852">
        <v>22</v>
      </c>
      <c r="C9" s="1212" t="s">
        <v>1080</v>
      </c>
      <c r="D9" s="1213"/>
      <c r="E9" s="1213"/>
      <c r="F9" s="1214"/>
      <c r="G9" s="1216"/>
      <c r="H9" s="856" t="s">
        <v>788</v>
      </c>
      <c r="I9" s="830">
        <f t="shared" ref="I9" si="1">J9+K9+L9+M9+N9+O9+P9+Q9+R9+S9+T9+U9</f>
        <v>1911553</v>
      </c>
      <c r="J9" s="109"/>
      <c r="K9" s="109"/>
      <c r="L9" s="109">
        <f>83111*3+83111+83111</f>
        <v>415555</v>
      </c>
      <c r="M9" s="109">
        <f t="shared" ref="M9:U9" si="2">83111*2</f>
        <v>166222</v>
      </c>
      <c r="N9" s="109">
        <f t="shared" si="2"/>
        <v>166222</v>
      </c>
      <c r="O9" s="109">
        <f t="shared" si="2"/>
        <v>166222</v>
      </c>
      <c r="P9" s="109">
        <f t="shared" si="2"/>
        <v>166222</v>
      </c>
      <c r="Q9" s="109">
        <f>83111*2</f>
        <v>166222</v>
      </c>
      <c r="R9" s="109">
        <f t="shared" si="2"/>
        <v>166222</v>
      </c>
      <c r="S9" s="109">
        <f t="shared" si="2"/>
        <v>166222</v>
      </c>
      <c r="T9" s="109">
        <f t="shared" si="2"/>
        <v>166222</v>
      </c>
      <c r="U9" s="109">
        <f t="shared" si="2"/>
        <v>166222</v>
      </c>
      <c r="V9" s="857"/>
    </row>
    <row r="10" spans="1:23" s="829" customFormat="1">
      <c r="A10" s="858"/>
      <c r="B10" s="852">
        <v>22</v>
      </c>
      <c r="C10" s="1220" t="s">
        <v>1081</v>
      </c>
      <c r="D10" s="1221"/>
      <c r="E10" s="1221"/>
      <c r="F10" s="1222"/>
      <c r="G10" s="1216"/>
      <c r="H10" s="853" t="s">
        <v>788</v>
      </c>
      <c r="I10" s="936">
        <f>(N10+P10)</f>
        <v>1083110</v>
      </c>
      <c r="J10" s="935"/>
      <c r="K10" s="935"/>
      <c r="L10" s="935"/>
      <c r="M10" s="935"/>
      <c r="N10" s="935">
        <f>500000+83110</f>
        <v>583110</v>
      </c>
      <c r="O10" s="935"/>
      <c r="P10" s="935">
        <v>500000</v>
      </c>
      <c r="Q10" s="935"/>
      <c r="R10" s="935"/>
      <c r="S10" s="935"/>
      <c r="T10" s="935"/>
      <c r="U10" s="935"/>
      <c r="V10" s="854"/>
      <c r="W10" s="828"/>
    </row>
    <row r="11" spans="1:23" s="833" customFormat="1" ht="45" customHeight="1">
      <c r="A11" s="859">
        <v>1</v>
      </c>
      <c r="B11" s="852">
        <v>22</v>
      </c>
      <c r="C11" s="1223" t="s">
        <v>1082</v>
      </c>
      <c r="D11" s="1224"/>
      <c r="E11" s="1224"/>
      <c r="F11" s="1225"/>
      <c r="G11" s="1216"/>
      <c r="H11" s="534" t="s">
        <v>788</v>
      </c>
      <c r="I11" s="937">
        <f>SUM(J11:U11)</f>
        <v>817000</v>
      </c>
      <c r="J11" s="938"/>
      <c r="K11" s="938"/>
      <c r="L11" s="938"/>
      <c r="M11" s="938"/>
      <c r="N11" s="938">
        <v>101500</v>
      </c>
      <c r="O11" s="938">
        <v>101500</v>
      </c>
      <c r="P11" s="938">
        <v>101500</v>
      </c>
      <c r="Q11" s="938">
        <v>101500</v>
      </c>
      <c r="R11" s="938">
        <v>101500</v>
      </c>
      <c r="S11" s="938">
        <v>101500</v>
      </c>
      <c r="T11" s="938">
        <v>101500</v>
      </c>
      <c r="U11" s="938">
        <f>101500+5000</f>
        <v>106500</v>
      </c>
      <c r="V11" s="860"/>
      <c r="W11" s="832"/>
    </row>
    <row r="12" spans="1:23" s="829" customFormat="1" ht="38.25" customHeight="1">
      <c r="A12" s="764"/>
      <c r="B12" s="852">
        <v>22</v>
      </c>
      <c r="C12" s="1212" t="s">
        <v>1083</v>
      </c>
      <c r="D12" s="1213"/>
      <c r="E12" s="1213"/>
      <c r="F12" s="1214"/>
      <c r="G12" s="1216"/>
      <c r="H12" s="853" t="s">
        <v>23</v>
      </c>
      <c r="I12" s="937">
        <f>SUM(J12:U12)</f>
        <v>1200000</v>
      </c>
      <c r="J12" s="937">
        <v>0</v>
      </c>
      <c r="K12" s="937">
        <v>0</v>
      </c>
      <c r="L12" s="937">
        <v>120000</v>
      </c>
      <c r="M12" s="937">
        <v>120000</v>
      </c>
      <c r="N12" s="937">
        <v>120000</v>
      </c>
      <c r="O12" s="937">
        <v>120000</v>
      </c>
      <c r="P12" s="937">
        <v>120000</v>
      </c>
      <c r="Q12" s="937">
        <v>120000</v>
      </c>
      <c r="R12" s="937">
        <v>120000</v>
      </c>
      <c r="S12" s="937">
        <v>120000</v>
      </c>
      <c r="T12" s="937">
        <v>120000</v>
      </c>
      <c r="U12" s="937">
        <v>120000</v>
      </c>
      <c r="V12" s="861"/>
      <c r="W12" s="828"/>
    </row>
    <row r="13" spans="1:23" s="835" customFormat="1">
      <c r="A13" s="862"/>
      <c r="B13" s="852">
        <v>22</v>
      </c>
      <c r="C13" s="1226" t="s">
        <v>1084</v>
      </c>
      <c r="D13" s="1227"/>
      <c r="E13" s="1227"/>
      <c r="F13" s="1228"/>
      <c r="G13" s="1217"/>
      <c r="H13" s="853"/>
      <c r="I13" s="935">
        <v>984420</v>
      </c>
      <c r="J13" s="109"/>
      <c r="K13" s="109"/>
      <c r="L13" s="109">
        <f>82035*3</f>
        <v>246105</v>
      </c>
      <c r="M13" s="109">
        <v>82035</v>
      </c>
      <c r="N13" s="109">
        <v>82035</v>
      </c>
      <c r="O13" s="109">
        <v>82035</v>
      </c>
      <c r="P13" s="109">
        <v>82035</v>
      </c>
      <c r="Q13" s="109">
        <v>82035</v>
      </c>
      <c r="R13" s="109">
        <v>82035</v>
      </c>
      <c r="S13" s="109">
        <v>82035</v>
      </c>
      <c r="T13" s="109">
        <v>82035</v>
      </c>
      <c r="U13" s="109">
        <v>82035</v>
      </c>
      <c r="V13" s="854"/>
      <c r="W13" s="834"/>
    </row>
    <row r="14" spans="1:23" s="835" customFormat="1" ht="45" customHeight="1">
      <c r="A14" s="863">
        <v>2</v>
      </c>
      <c r="B14" s="560">
        <v>22</v>
      </c>
      <c r="C14" s="1212" t="s">
        <v>1085</v>
      </c>
      <c r="D14" s="1213"/>
      <c r="E14" s="1213"/>
      <c r="F14" s="1214"/>
      <c r="G14" s="853" t="s">
        <v>906</v>
      </c>
      <c r="H14" s="853" t="s">
        <v>914</v>
      </c>
      <c r="I14" s="937">
        <f t="shared" ref="I14:I18" si="3">SUM(J14:U14)</f>
        <v>202872</v>
      </c>
      <c r="J14" s="937"/>
      <c r="K14" s="937"/>
      <c r="L14" s="937">
        <v>30000</v>
      </c>
      <c r="M14" s="937">
        <v>21609</v>
      </c>
      <c r="N14" s="937">
        <v>21609</v>
      </c>
      <c r="O14" s="937">
        <v>21609</v>
      </c>
      <c r="P14" s="937">
        <v>21609</v>
      </c>
      <c r="Q14" s="937">
        <v>21609</v>
      </c>
      <c r="R14" s="937">
        <v>21609</v>
      </c>
      <c r="S14" s="937">
        <v>21609</v>
      </c>
      <c r="T14" s="937">
        <v>21609</v>
      </c>
      <c r="U14" s="937">
        <v>0</v>
      </c>
      <c r="V14" s="861"/>
      <c r="W14" s="834"/>
    </row>
    <row r="15" spans="1:23" s="835" customFormat="1" ht="45" customHeight="1">
      <c r="A15" s="864">
        <v>3</v>
      </c>
      <c r="B15" s="560">
        <v>22</v>
      </c>
      <c r="C15" s="1212" t="s">
        <v>1086</v>
      </c>
      <c r="D15" s="1213"/>
      <c r="E15" s="1213"/>
      <c r="F15" s="1214"/>
      <c r="G15" s="853" t="s">
        <v>66</v>
      </c>
      <c r="H15" s="853" t="s">
        <v>1087</v>
      </c>
      <c r="I15" s="937">
        <f t="shared" si="3"/>
        <v>225300</v>
      </c>
      <c r="J15" s="937"/>
      <c r="K15" s="937"/>
      <c r="L15" s="937">
        <v>20000</v>
      </c>
      <c r="M15" s="937">
        <v>25660</v>
      </c>
      <c r="N15" s="937">
        <v>25662</v>
      </c>
      <c r="O15" s="937">
        <v>25663</v>
      </c>
      <c r="P15" s="937">
        <v>25663</v>
      </c>
      <c r="Q15" s="937">
        <v>25663</v>
      </c>
      <c r="R15" s="937">
        <v>25663</v>
      </c>
      <c r="S15" s="937">
        <v>25663</v>
      </c>
      <c r="T15" s="937">
        <v>25663</v>
      </c>
      <c r="U15" s="937">
        <v>0</v>
      </c>
      <c r="V15" s="861"/>
      <c r="W15" s="834"/>
    </row>
    <row r="16" spans="1:23" s="835" customFormat="1" ht="45" customHeight="1">
      <c r="A16" s="864">
        <v>4</v>
      </c>
      <c r="B16" s="560">
        <v>22</v>
      </c>
      <c r="C16" s="1212" t="s">
        <v>1088</v>
      </c>
      <c r="D16" s="1213"/>
      <c r="E16" s="1213"/>
      <c r="F16" s="1214"/>
      <c r="G16" s="853" t="s">
        <v>1089</v>
      </c>
      <c r="H16" s="853" t="s">
        <v>788</v>
      </c>
      <c r="I16" s="937">
        <f t="shared" si="3"/>
        <v>233000</v>
      </c>
      <c r="J16" s="937"/>
      <c r="K16" s="937"/>
      <c r="L16" s="937">
        <v>20000</v>
      </c>
      <c r="M16" s="937">
        <v>26625</v>
      </c>
      <c r="N16" s="937">
        <v>26625</v>
      </c>
      <c r="O16" s="937">
        <v>26625</v>
      </c>
      <c r="P16" s="937">
        <v>26625</v>
      </c>
      <c r="Q16" s="937">
        <v>26625</v>
      </c>
      <c r="R16" s="937">
        <v>26625</v>
      </c>
      <c r="S16" s="937">
        <v>26625</v>
      </c>
      <c r="T16" s="937">
        <v>26625</v>
      </c>
      <c r="U16" s="937">
        <v>0</v>
      </c>
      <c r="V16" s="861"/>
      <c r="W16" s="834"/>
    </row>
    <row r="17" spans="1:23" s="831" customFormat="1" ht="21">
      <c r="A17" s="865"/>
      <c r="B17" s="560">
        <v>22</v>
      </c>
      <c r="C17" s="1212" t="s">
        <v>1090</v>
      </c>
      <c r="D17" s="1213"/>
      <c r="E17" s="1213"/>
      <c r="F17" s="1214"/>
      <c r="G17" s="1215" t="s">
        <v>1091</v>
      </c>
      <c r="H17" s="856" t="s">
        <v>1092</v>
      </c>
      <c r="I17" s="830">
        <f t="shared" ref="I17" si="4">J17+K17+L17+M17+N17+O17+P17+Q17+R17+S17+T17+U17</f>
        <v>288569</v>
      </c>
      <c r="J17" s="109"/>
      <c r="K17" s="109"/>
      <c r="L17" s="109"/>
      <c r="M17" s="109">
        <f t="shared" ref="M17" si="5">88569</f>
        <v>88569</v>
      </c>
      <c r="N17" s="109"/>
      <c r="O17" s="109"/>
      <c r="P17" s="109"/>
      <c r="Q17" s="109"/>
      <c r="R17" s="109"/>
      <c r="S17" s="109">
        <v>200000</v>
      </c>
      <c r="T17" s="109"/>
      <c r="U17" s="109"/>
      <c r="V17" s="866"/>
    </row>
    <row r="18" spans="1:23" s="835" customFormat="1" ht="45" customHeight="1">
      <c r="A18" s="855">
        <v>5</v>
      </c>
      <c r="B18" s="867">
        <v>22</v>
      </c>
      <c r="C18" s="1212" t="s">
        <v>1086</v>
      </c>
      <c r="D18" s="1213"/>
      <c r="E18" s="1213"/>
      <c r="F18" s="1214"/>
      <c r="G18" s="1216"/>
      <c r="H18" s="853" t="s">
        <v>1093</v>
      </c>
      <c r="I18" s="937">
        <f t="shared" si="3"/>
        <v>533000</v>
      </c>
      <c r="J18" s="937"/>
      <c r="K18" s="937"/>
      <c r="L18" s="937">
        <v>200000</v>
      </c>
      <c r="M18" s="937">
        <v>41625</v>
      </c>
      <c r="N18" s="937">
        <v>41625</v>
      </c>
      <c r="O18" s="937">
        <v>41625</v>
      </c>
      <c r="P18" s="937">
        <v>41625</v>
      </c>
      <c r="Q18" s="937">
        <v>41625</v>
      </c>
      <c r="R18" s="937">
        <v>41625</v>
      </c>
      <c r="S18" s="937">
        <v>41625</v>
      </c>
      <c r="T18" s="937">
        <v>41625</v>
      </c>
      <c r="U18" s="937">
        <v>0</v>
      </c>
      <c r="V18" s="861"/>
      <c r="W18" s="834"/>
    </row>
    <row r="19" spans="1:23" s="835" customFormat="1" ht="45" customHeight="1">
      <c r="A19" s="868"/>
      <c r="B19" s="867">
        <v>25</v>
      </c>
      <c r="C19" s="1212" t="s">
        <v>1094</v>
      </c>
      <c r="D19" s="1213"/>
      <c r="E19" s="1213"/>
      <c r="F19" s="1214"/>
      <c r="G19" s="1217"/>
      <c r="H19" s="853" t="s">
        <v>1093</v>
      </c>
      <c r="I19" s="937">
        <f t="shared" ref="I19" si="6">SUM(J19:U19)</f>
        <v>10865694</v>
      </c>
      <c r="J19" s="937"/>
      <c r="K19" s="937"/>
      <c r="L19" s="937"/>
      <c r="M19" s="937"/>
      <c r="N19" s="937"/>
      <c r="O19" s="937">
        <v>5432847</v>
      </c>
      <c r="P19" s="937"/>
      <c r="Q19" s="937"/>
      <c r="R19" s="937"/>
      <c r="S19" s="937">
        <v>5432847</v>
      </c>
      <c r="T19" s="937"/>
      <c r="U19" s="937">
        <v>0</v>
      </c>
      <c r="V19" s="861"/>
      <c r="W19" s="834"/>
    </row>
    <row r="20" spans="1:23" s="829" customFormat="1" ht="45" customHeight="1">
      <c r="A20" s="869">
        <v>6</v>
      </c>
      <c r="B20" s="560">
        <v>22</v>
      </c>
      <c r="C20" s="1212" t="s">
        <v>1095</v>
      </c>
      <c r="D20" s="1213"/>
      <c r="E20" s="1213"/>
      <c r="F20" s="1214"/>
      <c r="G20" s="853" t="s">
        <v>69</v>
      </c>
      <c r="H20" s="853" t="s">
        <v>830</v>
      </c>
      <c r="I20" s="937">
        <f>SUM(J20:U20)</f>
        <v>1275000</v>
      </c>
      <c r="J20" s="937"/>
      <c r="K20" s="937"/>
      <c r="L20" s="937"/>
      <c r="M20" s="937"/>
      <c r="N20" s="937">
        <v>500000</v>
      </c>
      <c r="O20" s="937">
        <v>500000</v>
      </c>
      <c r="P20" s="937">
        <f>140000+20000</f>
        <v>160000</v>
      </c>
      <c r="Q20" s="937"/>
      <c r="R20" s="937"/>
      <c r="S20" s="937"/>
      <c r="T20" s="937"/>
      <c r="U20" s="937">
        <v>115000</v>
      </c>
      <c r="V20" s="861"/>
      <c r="W20" s="828"/>
    </row>
    <row r="21" spans="1:23" s="835" customFormat="1" ht="34.5" customHeight="1">
      <c r="A21" s="870"/>
      <c r="B21" s="867">
        <v>22</v>
      </c>
      <c r="C21" s="1212" t="s">
        <v>1096</v>
      </c>
      <c r="D21" s="1213"/>
      <c r="E21" s="1213"/>
      <c r="F21" s="1214"/>
      <c r="G21" s="1215" t="s">
        <v>31</v>
      </c>
      <c r="H21" s="853" t="s">
        <v>788</v>
      </c>
      <c r="I21" s="937">
        <f t="shared" ref="I21:I26" si="7">SUM(J21:U21)</f>
        <v>308500</v>
      </c>
      <c r="J21" s="937"/>
      <c r="K21" s="937"/>
      <c r="L21" s="937">
        <v>30000</v>
      </c>
      <c r="M21" s="937">
        <v>34812</v>
      </c>
      <c r="N21" s="937">
        <v>34812</v>
      </c>
      <c r="O21" s="937">
        <v>34812</v>
      </c>
      <c r="P21" s="937">
        <v>34812</v>
      </c>
      <c r="Q21" s="937">
        <v>34813</v>
      </c>
      <c r="R21" s="937">
        <v>34813</v>
      </c>
      <c r="S21" s="937">
        <v>34813</v>
      </c>
      <c r="T21" s="937">
        <v>34813</v>
      </c>
      <c r="U21" s="937">
        <v>0</v>
      </c>
      <c r="V21" s="861"/>
      <c r="W21" s="834"/>
    </row>
    <row r="22" spans="1:23" s="835" customFormat="1" ht="30" customHeight="1">
      <c r="A22" s="871">
        <v>7</v>
      </c>
      <c r="B22" s="867">
        <v>25</v>
      </c>
      <c r="C22" s="1212" t="s">
        <v>1097</v>
      </c>
      <c r="D22" s="1213"/>
      <c r="E22" s="1213"/>
      <c r="F22" s="872"/>
      <c r="G22" s="1216"/>
      <c r="H22" s="853" t="s">
        <v>23</v>
      </c>
      <c r="I22" s="937">
        <f t="shared" si="7"/>
        <v>700000</v>
      </c>
      <c r="J22" s="937"/>
      <c r="K22" s="937"/>
      <c r="L22" s="937"/>
      <c r="M22" s="937"/>
      <c r="N22" s="937"/>
      <c r="O22" s="937"/>
      <c r="P22" s="937"/>
      <c r="Q22" s="937">
        <v>700000</v>
      </c>
      <c r="R22" s="937"/>
      <c r="S22" s="937"/>
      <c r="T22" s="937"/>
      <c r="U22" s="937">
        <v>0</v>
      </c>
      <c r="V22" s="873"/>
      <c r="W22" s="834"/>
    </row>
    <row r="23" spans="1:23" s="837" customFormat="1" ht="45" customHeight="1">
      <c r="A23" s="874"/>
      <c r="B23" s="867">
        <v>22</v>
      </c>
      <c r="C23" s="1212" t="s">
        <v>1098</v>
      </c>
      <c r="D23" s="1213"/>
      <c r="E23" s="1213"/>
      <c r="F23" s="1214"/>
      <c r="G23" s="1217"/>
      <c r="H23" s="853" t="s">
        <v>23</v>
      </c>
      <c r="I23" s="937">
        <f t="shared" si="7"/>
        <v>298000</v>
      </c>
      <c r="J23" s="937"/>
      <c r="K23" s="937"/>
      <c r="L23" s="937">
        <f>24000*3</f>
        <v>72000</v>
      </c>
      <c r="M23" s="937">
        <v>24000</v>
      </c>
      <c r="N23" s="937">
        <v>24000</v>
      </c>
      <c r="O23" s="937">
        <v>24000</v>
      </c>
      <c r="P23" s="937">
        <f>24000+10000</f>
        <v>34000</v>
      </c>
      <c r="Q23" s="937">
        <v>24000</v>
      </c>
      <c r="R23" s="937">
        <v>24000</v>
      </c>
      <c r="S23" s="937">
        <v>24000</v>
      </c>
      <c r="T23" s="937">
        <v>24000</v>
      </c>
      <c r="U23" s="937">
        <v>24000</v>
      </c>
      <c r="V23" s="854"/>
      <c r="W23" s="836"/>
    </row>
    <row r="24" spans="1:23" s="837" customFormat="1" ht="45" customHeight="1">
      <c r="A24" s="679"/>
      <c r="B24" s="867">
        <v>22</v>
      </c>
      <c r="C24" s="1212" t="s">
        <v>1099</v>
      </c>
      <c r="D24" s="1213"/>
      <c r="E24" s="1213"/>
      <c r="F24" s="1214"/>
      <c r="G24" s="1215" t="s">
        <v>791</v>
      </c>
      <c r="H24" s="853" t="s">
        <v>23</v>
      </c>
      <c r="I24" s="937">
        <f t="shared" si="7"/>
        <v>154000</v>
      </c>
      <c r="J24" s="937"/>
      <c r="K24" s="937"/>
      <c r="L24" s="937">
        <f>12000*3</f>
        <v>36000</v>
      </c>
      <c r="M24" s="937">
        <v>12000</v>
      </c>
      <c r="N24" s="937">
        <v>12000</v>
      </c>
      <c r="O24" s="937">
        <v>12000</v>
      </c>
      <c r="P24" s="937">
        <f>12000+10000</f>
        <v>22000</v>
      </c>
      <c r="Q24" s="937">
        <v>12000</v>
      </c>
      <c r="R24" s="937">
        <v>12000</v>
      </c>
      <c r="S24" s="937">
        <v>12000</v>
      </c>
      <c r="T24" s="937">
        <v>12000</v>
      </c>
      <c r="U24" s="937">
        <v>12000</v>
      </c>
      <c r="V24" s="854"/>
      <c r="W24" s="836"/>
    </row>
    <row r="25" spans="1:23" s="839" customFormat="1" ht="45" customHeight="1">
      <c r="A25" s="875">
        <v>8</v>
      </c>
      <c r="B25" s="876">
        <v>22</v>
      </c>
      <c r="C25" s="1229" t="s">
        <v>1100</v>
      </c>
      <c r="D25" s="1230"/>
      <c r="E25" s="1230"/>
      <c r="F25" s="1231"/>
      <c r="G25" s="1216"/>
      <c r="H25" s="877" t="s">
        <v>23</v>
      </c>
      <c r="I25" s="830">
        <f t="shared" si="7"/>
        <v>218500</v>
      </c>
      <c r="J25" s="830"/>
      <c r="K25" s="830"/>
      <c r="L25" s="830">
        <v>30000</v>
      </c>
      <c r="M25" s="830"/>
      <c r="N25" s="830">
        <v>26928</v>
      </c>
      <c r="O25" s="830">
        <v>26928</v>
      </c>
      <c r="P25" s="830">
        <v>26928</v>
      </c>
      <c r="Q25" s="830">
        <v>26929</v>
      </c>
      <c r="R25" s="830">
        <v>26929</v>
      </c>
      <c r="S25" s="830">
        <v>26929</v>
      </c>
      <c r="T25" s="830">
        <v>26929</v>
      </c>
      <c r="U25" s="830">
        <v>0</v>
      </c>
      <c r="V25" s="878"/>
      <c r="W25" s="838"/>
    </row>
    <row r="26" spans="1:23" s="835" customFormat="1" ht="45" customHeight="1">
      <c r="A26" s="855"/>
      <c r="B26" s="867">
        <v>25</v>
      </c>
      <c r="C26" s="1212" t="s">
        <v>1101</v>
      </c>
      <c r="D26" s="1213"/>
      <c r="E26" s="1213"/>
      <c r="F26" s="872"/>
      <c r="G26" s="1217"/>
      <c r="H26" s="853" t="s">
        <v>788</v>
      </c>
      <c r="I26" s="937">
        <f t="shared" si="7"/>
        <v>585102</v>
      </c>
      <c r="J26" s="937"/>
      <c r="K26" s="937"/>
      <c r="L26" s="937"/>
      <c r="M26" s="937"/>
      <c r="N26" s="936"/>
      <c r="O26" s="937">
        <v>585102</v>
      </c>
      <c r="P26" s="937"/>
      <c r="Q26" s="937"/>
      <c r="R26" s="109"/>
      <c r="S26" s="937"/>
      <c r="T26" s="937"/>
      <c r="U26" s="937">
        <v>0</v>
      </c>
      <c r="V26" s="861"/>
      <c r="W26" s="834"/>
    </row>
    <row r="27" spans="1:23" s="831" customFormat="1" ht="45" customHeight="1">
      <c r="A27" s="865"/>
      <c r="B27" s="879">
        <v>22</v>
      </c>
      <c r="C27" s="1212" t="s">
        <v>1102</v>
      </c>
      <c r="D27" s="1213"/>
      <c r="E27" s="1213"/>
      <c r="F27" s="1214"/>
      <c r="G27" s="1232" t="s">
        <v>59</v>
      </c>
      <c r="H27" s="474" t="s">
        <v>499</v>
      </c>
      <c r="I27" s="830">
        <f t="shared" ref="I27" si="8">J27+K27+L27+M27+N27+O27+P27+Q27+R27+S27+T27+U27</f>
        <v>454569</v>
      </c>
      <c r="J27" s="109"/>
      <c r="K27" s="109"/>
      <c r="L27" s="109">
        <f>8000*3</f>
        <v>24000</v>
      </c>
      <c r="M27" s="109">
        <f>8000+12000+250569</f>
        <v>270569</v>
      </c>
      <c r="N27" s="109">
        <f t="shared" ref="N27:U27" si="9">8000+12000</f>
        <v>20000</v>
      </c>
      <c r="O27" s="109">
        <f t="shared" si="9"/>
        <v>20000</v>
      </c>
      <c r="P27" s="109">
        <f t="shared" si="9"/>
        <v>20000</v>
      </c>
      <c r="Q27" s="109">
        <f t="shared" si="9"/>
        <v>20000</v>
      </c>
      <c r="R27" s="109">
        <f t="shared" si="9"/>
        <v>20000</v>
      </c>
      <c r="S27" s="109">
        <f t="shared" si="9"/>
        <v>20000</v>
      </c>
      <c r="T27" s="109">
        <f t="shared" si="9"/>
        <v>20000</v>
      </c>
      <c r="U27" s="109">
        <f t="shared" si="9"/>
        <v>20000</v>
      </c>
      <c r="V27" s="866"/>
    </row>
    <row r="28" spans="1:23" s="835" customFormat="1" ht="45" customHeight="1">
      <c r="A28" s="1101">
        <v>9</v>
      </c>
      <c r="B28" s="867">
        <v>22</v>
      </c>
      <c r="C28" s="1212" t="s">
        <v>1096</v>
      </c>
      <c r="D28" s="1213"/>
      <c r="E28" s="1213"/>
      <c r="F28" s="1214"/>
      <c r="G28" s="1234"/>
      <c r="H28" s="853" t="s">
        <v>23</v>
      </c>
      <c r="I28" s="937">
        <f t="shared" ref="I28:I29" si="10">SUM(J28:U28)</f>
        <v>345600</v>
      </c>
      <c r="J28" s="937"/>
      <c r="K28" s="937"/>
      <c r="L28" s="937">
        <v>30000</v>
      </c>
      <c r="M28" s="937">
        <v>39450</v>
      </c>
      <c r="N28" s="937">
        <v>39450</v>
      </c>
      <c r="O28" s="937">
        <v>39450</v>
      </c>
      <c r="P28" s="937">
        <v>39450</v>
      </c>
      <c r="Q28" s="937">
        <v>39450</v>
      </c>
      <c r="R28" s="937">
        <v>39450</v>
      </c>
      <c r="S28" s="937">
        <v>39450</v>
      </c>
      <c r="T28" s="937">
        <v>39450</v>
      </c>
      <c r="U28" s="937">
        <v>0</v>
      </c>
      <c r="V28" s="880"/>
      <c r="W28" s="834"/>
    </row>
    <row r="29" spans="1:23" s="835" customFormat="1" ht="45" customHeight="1">
      <c r="A29" s="1101"/>
      <c r="B29" s="867">
        <v>25</v>
      </c>
      <c r="C29" s="1212" t="s">
        <v>1097</v>
      </c>
      <c r="D29" s="1213"/>
      <c r="E29" s="1213"/>
      <c r="F29" s="872"/>
      <c r="G29" s="1233"/>
      <c r="H29" s="853" t="s">
        <v>788</v>
      </c>
      <c r="I29" s="937">
        <f t="shared" si="10"/>
        <v>700000</v>
      </c>
      <c r="J29" s="937"/>
      <c r="K29" s="937"/>
      <c r="L29" s="937"/>
      <c r="M29" s="937"/>
      <c r="N29" s="937"/>
      <c r="O29" s="937"/>
      <c r="P29" s="937">
        <v>700000</v>
      </c>
      <c r="Q29" s="937"/>
      <c r="R29" s="937"/>
      <c r="S29" s="937"/>
      <c r="T29" s="937"/>
      <c r="U29" s="937"/>
      <c r="V29" s="881"/>
      <c r="W29" s="834"/>
    </row>
    <row r="30" spans="1:23" s="837" customFormat="1" ht="45" customHeight="1">
      <c r="A30" s="679">
        <v>10</v>
      </c>
      <c r="B30" s="867">
        <v>22</v>
      </c>
      <c r="C30" s="1212" t="s">
        <v>1099</v>
      </c>
      <c r="D30" s="1213"/>
      <c r="E30" s="1213"/>
      <c r="F30" s="1214"/>
      <c r="G30" s="1215" t="s">
        <v>792</v>
      </c>
      <c r="H30" s="853" t="s">
        <v>23</v>
      </c>
      <c r="I30" s="937">
        <f t="shared" ref="I30:I31" si="11">SUM(J30:U30)</f>
        <v>154000</v>
      </c>
      <c r="J30" s="937"/>
      <c r="K30" s="937"/>
      <c r="L30" s="937">
        <f>12000*3</f>
        <v>36000</v>
      </c>
      <c r="M30" s="937">
        <v>12000</v>
      </c>
      <c r="N30" s="937">
        <v>12000</v>
      </c>
      <c r="O30" s="937">
        <v>12000</v>
      </c>
      <c r="P30" s="937">
        <f>12000+10000</f>
        <v>22000</v>
      </c>
      <c r="Q30" s="937">
        <v>12000</v>
      </c>
      <c r="R30" s="937">
        <v>12000</v>
      </c>
      <c r="S30" s="937">
        <v>12000</v>
      </c>
      <c r="T30" s="937">
        <v>12000</v>
      </c>
      <c r="U30" s="937">
        <v>12000</v>
      </c>
      <c r="V30" s="854"/>
      <c r="W30" s="836"/>
    </row>
    <row r="31" spans="1:23" s="835" customFormat="1" ht="45" customHeight="1">
      <c r="A31" s="855"/>
      <c r="B31" s="867">
        <v>22</v>
      </c>
      <c r="C31" s="1212" t="s">
        <v>1103</v>
      </c>
      <c r="D31" s="1213"/>
      <c r="E31" s="1213"/>
      <c r="F31" s="1214"/>
      <c r="G31" s="1216"/>
      <c r="H31" s="853" t="s">
        <v>968</v>
      </c>
      <c r="I31" s="937">
        <f t="shared" si="11"/>
        <v>134500</v>
      </c>
      <c r="J31" s="937"/>
      <c r="K31" s="937"/>
      <c r="L31" s="937">
        <v>20000</v>
      </c>
      <c r="M31" s="937"/>
      <c r="N31" s="937"/>
      <c r="O31" s="937"/>
      <c r="P31" s="937"/>
      <c r="Q31" s="937"/>
      <c r="R31" s="937">
        <v>38166</v>
      </c>
      <c r="S31" s="937">
        <v>38167</v>
      </c>
      <c r="T31" s="937">
        <v>38167</v>
      </c>
      <c r="U31" s="937">
        <v>0</v>
      </c>
      <c r="V31" s="861"/>
      <c r="W31" s="834"/>
    </row>
    <row r="32" spans="1:23" s="835" customFormat="1" ht="45" customHeight="1">
      <c r="A32" s="855"/>
      <c r="B32" s="867">
        <v>25</v>
      </c>
      <c r="C32" s="1212" t="s">
        <v>1104</v>
      </c>
      <c r="D32" s="1213"/>
      <c r="E32" s="1213"/>
      <c r="F32" s="872"/>
      <c r="G32" s="1217"/>
      <c r="H32" s="853" t="s">
        <v>968</v>
      </c>
      <c r="I32" s="937">
        <f>SUM(J32:U32)</f>
        <v>500000</v>
      </c>
      <c r="J32" s="937"/>
      <c r="K32" s="937"/>
      <c r="L32" s="937"/>
      <c r="M32" s="937"/>
      <c r="N32" s="937">
        <v>500000</v>
      </c>
      <c r="O32" s="937"/>
      <c r="P32" s="937"/>
      <c r="Q32" s="937"/>
      <c r="R32" s="937"/>
      <c r="S32" s="937"/>
      <c r="T32" s="937"/>
      <c r="U32" s="937"/>
      <c r="V32" s="861"/>
      <c r="W32" s="834"/>
    </row>
    <row r="33" spans="1:23" s="835" customFormat="1" ht="45" customHeight="1">
      <c r="A33" s="679"/>
      <c r="B33" s="867">
        <v>22</v>
      </c>
      <c r="C33" s="1212" t="s">
        <v>1096</v>
      </c>
      <c r="D33" s="1213"/>
      <c r="E33" s="1213"/>
      <c r="F33" s="1214"/>
      <c r="G33" s="1215" t="s">
        <v>785</v>
      </c>
      <c r="H33" s="853" t="s">
        <v>788</v>
      </c>
      <c r="I33" s="937">
        <f t="shared" ref="I33:I35" si="12">SUM(J33:U33)</f>
        <v>353267</v>
      </c>
      <c r="J33" s="937"/>
      <c r="K33" s="937"/>
      <c r="L33" s="937">
        <v>30000</v>
      </c>
      <c r="M33" s="937">
        <v>40409</v>
      </c>
      <c r="N33" s="937">
        <v>40409</v>
      </c>
      <c r="O33" s="937">
        <v>40409</v>
      </c>
      <c r="P33" s="937">
        <v>40408</v>
      </c>
      <c r="Q33" s="937">
        <v>40408</v>
      </c>
      <c r="R33" s="937">
        <v>40408</v>
      </c>
      <c r="S33" s="937">
        <v>40408</v>
      </c>
      <c r="T33" s="937">
        <v>40408</v>
      </c>
      <c r="U33" s="937">
        <v>0</v>
      </c>
      <c r="V33" s="861"/>
      <c r="W33" s="834"/>
    </row>
    <row r="34" spans="1:23" s="831" customFormat="1" ht="45" customHeight="1">
      <c r="A34" s="855"/>
      <c r="B34" s="867">
        <v>22</v>
      </c>
      <c r="C34" s="1212" t="s">
        <v>1105</v>
      </c>
      <c r="D34" s="1213"/>
      <c r="E34" s="1213"/>
      <c r="F34" s="1214"/>
      <c r="G34" s="1216"/>
      <c r="H34" s="853" t="s">
        <v>1106</v>
      </c>
      <c r="I34" s="830">
        <f t="shared" ref="I34" si="13">J34+K34+L34+M34+N34+O34+P34+Q34+R34+S34+T34+U34</f>
        <v>915769</v>
      </c>
      <c r="J34" s="109"/>
      <c r="K34" s="109"/>
      <c r="L34" s="109"/>
      <c r="M34" s="109">
        <f>88569</f>
        <v>88569</v>
      </c>
      <c r="N34" s="109"/>
      <c r="O34" s="109">
        <f>127200</f>
        <v>127200</v>
      </c>
      <c r="P34" s="109"/>
      <c r="Q34" s="109"/>
      <c r="R34" s="109"/>
      <c r="S34" s="109">
        <f>500000+200000</f>
        <v>700000</v>
      </c>
      <c r="T34" s="109"/>
      <c r="U34" s="109"/>
      <c r="V34" s="866"/>
    </row>
    <row r="35" spans="1:23" s="829" customFormat="1" ht="45" customHeight="1">
      <c r="A35" s="764">
        <v>11</v>
      </c>
      <c r="B35" s="867">
        <v>22</v>
      </c>
      <c r="C35" s="1212" t="s">
        <v>1107</v>
      </c>
      <c r="D35" s="1213"/>
      <c r="E35" s="1213"/>
      <c r="F35" s="1214"/>
      <c r="G35" s="1217"/>
      <c r="H35" s="853" t="s">
        <v>1108</v>
      </c>
      <c r="I35" s="937">
        <f t="shared" si="12"/>
        <v>688000</v>
      </c>
      <c r="J35" s="937"/>
      <c r="K35" s="937"/>
      <c r="L35" s="937"/>
      <c r="M35" s="937"/>
      <c r="N35" s="937">
        <v>300000</v>
      </c>
      <c r="O35" s="937">
        <v>300000</v>
      </c>
      <c r="P35" s="937"/>
      <c r="Q35" s="937"/>
      <c r="R35" s="937"/>
      <c r="S35" s="937"/>
      <c r="T35" s="937"/>
      <c r="U35" s="937">
        <v>88000</v>
      </c>
      <c r="V35" s="854"/>
      <c r="W35" s="828"/>
    </row>
    <row r="36" spans="1:23" s="831" customFormat="1" ht="45" customHeight="1">
      <c r="A36" s="865"/>
      <c r="B36" s="867">
        <v>22</v>
      </c>
      <c r="C36" s="1212" t="s">
        <v>1109</v>
      </c>
      <c r="D36" s="1213"/>
      <c r="E36" s="1213"/>
      <c r="F36" s="1214"/>
      <c r="G36" s="1232" t="s">
        <v>53</v>
      </c>
      <c r="H36" s="849" t="s">
        <v>1110</v>
      </c>
      <c r="I36" s="830">
        <f t="shared" ref="I36" si="14">J36+K36+L36+M36+N36+O36+P36+Q36+R36+S36+T36+U36</f>
        <v>2861802</v>
      </c>
      <c r="J36" s="109"/>
      <c r="K36" s="109"/>
      <c r="L36" s="109">
        <f>8000+162133+185500+8000+8000</f>
        <v>371633</v>
      </c>
      <c r="M36" s="109">
        <f>8000+12000+100000+28569</f>
        <v>148569</v>
      </c>
      <c r="N36" s="109">
        <f>8000+12000+152000</f>
        <v>172000</v>
      </c>
      <c r="O36" s="109">
        <f>8000+12000+63600</f>
        <v>83600</v>
      </c>
      <c r="P36" s="109">
        <f t="shared" ref="P36:U36" si="15">8000+12000</f>
        <v>20000</v>
      </c>
      <c r="Q36" s="109">
        <f t="shared" si="15"/>
        <v>20000</v>
      </c>
      <c r="R36" s="109">
        <f t="shared" si="15"/>
        <v>20000</v>
      </c>
      <c r="S36" s="109">
        <f>8000+12000+250000</f>
        <v>270000</v>
      </c>
      <c r="T36" s="109">
        <f>8000+12000+264000+1452000</f>
        <v>1736000</v>
      </c>
      <c r="U36" s="109">
        <f t="shared" si="15"/>
        <v>20000</v>
      </c>
      <c r="V36" s="866"/>
    </row>
    <row r="37" spans="1:23" s="835" customFormat="1" ht="45" customHeight="1">
      <c r="A37" s="561">
        <v>12</v>
      </c>
      <c r="B37" s="867">
        <v>22</v>
      </c>
      <c r="C37" s="1212" t="s">
        <v>1111</v>
      </c>
      <c r="D37" s="1213"/>
      <c r="E37" s="1213"/>
      <c r="F37" s="1214"/>
      <c r="G37" s="1233"/>
      <c r="H37" s="853" t="s">
        <v>1112</v>
      </c>
      <c r="I37" s="937">
        <f t="shared" ref="I37:I38" si="16">SUM(J37:U37)</f>
        <v>533667</v>
      </c>
      <c r="J37" s="937"/>
      <c r="K37" s="937"/>
      <c r="L37" s="937">
        <v>30000</v>
      </c>
      <c r="M37" s="937">
        <v>62959</v>
      </c>
      <c r="N37" s="937">
        <v>62959</v>
      </c>
      <c r="O37" s="937">
        <v>62959</v>
      </c>
      <c r="P37" s="937">
        <v>62958</v>
      </c>
      <c r="Q37" s="937">
        <v>62958</v>
      </c>
      <c r="R37" s="937">
        <v>62958</v>
      </c>
      <c r="S37" s="937">
        <v>62958</v>
      </c>
      <c r="T37" s="937">
        <v>62958</v>
      </c>
      <c r="U37" s="937">
        <v>0</v>
      </c>
      <c r="V37" s="861"/>
      <c r="W37" s="834"/>
    </row>
    <row r="38" spans="1:23" s="835" customFormat="1" ht="45" customHeight="1">
      <c r="A38" s="869">
        <v>13</v>
      </c>
      <c r="B38" s="560">
        <v>22</v>
      </c>
      <c r="C38" s="1212" t="s">
        <v>1113</v>
      </c>
      <c r="D38" s="1213"/>
      <c r="E38" s="1213"/>
      <c r="F38" s="1214"/>
      <c r="G38" s="853" t="s">
        <v>1114</v>
      </c>
      <c r="H38" s="853" t="s">
        <v>788</v>
      </c>
      <c r="I38" s="937">
        <f t="shared" si="16"/>
        <v>323000</v>
      </c>
      <c r="J38" s="937"/>
      <c r="K38" s="937"/>
      <c r="L38" s="937">
        <v>30000</v>
      </c>
      <c r="M38" s="937">
        <v>36625</v>
      </c>
      <c r="N38" s="937">
        <v>36625</v>
      </c>
      <c r="O38" s="937">
        <v>36625</v>
      </c>
      <c r="P38" s="937">
        <v>36625</v>
      </c>
      <c r="Q38" s="937">
        <v>36625</v>
      </c>
      <c r="R38" s="937">
        <v>36625</v>
      </c>
      <c r="S38" s="937">
        <v>36625</v>
      </c>
      <c r="T38" s="937">
        <v>36625</v>
      </c>
      <c r="U38" s="937">
        <v>0</v>
      </c>
      <c r="V38" s="861"/>
      <c r="W38" s="834"/>
    </row>
    <row r="39" spans="1:23" s="831" customFormat="1" ht="45" customHeight="1">
      <c r="A39" s="865">
        <v>14</v>
      </c>
      <c r="B39" s="879">
        <v>22</v>
      </c>
      <c r="C39" s="1212" t="s">
        <v>1115</v>
      </c>
      <c r="D39" s="1213"/>
      <c r="E39" s="1213"/>
      <c r="F39" s="1214"/>
      <c r="G39" s="1232" t="s">
        <v>57</v>
      </c>
      <c r="H39" s="853" t="s">
        <v>1116</v>
      </c>
      <c r="I39" s="830">
        <f t="shared" ref="I39" si="17">J39+K39+L39+M39+N39+O39+P39+Q39+R39+S39+T39+U39</f>
        <v>2356669</v>
      </c>
      <c r="J39" s="109"/>
      <c r="K39" s="109"/>
      <c r="L39" s="109">
        <f>8000+128000+100000+337500+8000+8000</f>
        <v>589500</v>
      </c>
      <c r="M39" s="109">
        <f>8000+10000+18569</f>
        <v>36569</v>
      </c>
      <c r="N39" s="109">
        <f>8000</f>
        <v>8000</v>
      </c>
      <c r="O39" s="109">
        <f>8000+18600</f>
        <v>26600</v>
      </c>
      <c r="P39" s="109">
        <f>8000</f>
        <v>8000</v>
      </c>
      <c r="Q39" s="109">
        <f>8000</f>
        <v>8000</v>
      </c>
      <c r="R39" s="109">
        <f>8000</f>
        <v>8000</v>
      </c>
      <c r="S39" s="109">
        <f>8000+1300000+348000</f>
        <v>1656000</v>
      </c>
      <c r="T39" s="109">
        <f>8000</f>
        <v>8000</v>
      </c>
      <c r="U39" s="109">
        <f>8000</f>
        <v>8000</v>
      </c>
      <c r="V39" s="866"/>
    </row>
    <row r="40" spans="1:23" s="835" customFormat="1" ht="45" customHeight="1">
      <c r="A40" s="764"/>
      <c r="B40" s="867">
        <v>22</v>
      </c>
      <c r="C40" s="1212" t="s">
        <v>1111</v>
      </c>
      <c r="D40" s="1213"/>
      <c r="E40" s="1213"/>
      <c r="F40" s="1214"/>
      <c r="G40" s="1233"/>
      <c r="H40" s="853" t="s">
        <v>788</v>
      </c>
      <c r="I40" s="937">
        <f>SUM(J40:U40)</f>
        <v>359000</v>
      </c>
      <c r="J40" s="937"/>
      <c r="K40" s="937"/>
      <c r="L40" s="937">
        <v>30000</v>
      </c>
      <c r="M40" s="937">
        <v>41125</v>
      </c>
      <c r="N40" s="937">
        <v>41125</v>
      </c>
      <c r="O40" s="937">
        <v>41125</v>
      </c>
      <c r="P40" s="937">
        <v>41125</v>
      </c>
      <c r="Q40" s="937">
        <v>41125</v>
      </c>
      <c r="R40" s="937">
        <v>41125</v>
      </c>
      <c r="S40" s="937">
        <v>41125</v>
      </c>
      <c r="T40" s="937">
        <v>41125</v>
      </c>
      <c r="U40" s="937">
        <v>0</v>
      </c>
      <c r="V40" s="880"/>
      <c r="W40" s="834"/>
    </row>
    <row r="41" spans="1:23" s="835" customFormat="1" ht="45" customHeight="1">
      <c r="A41" s="1100"/>
      <c r="B41" s="867">
        <v>22</v>
      </c>
      <c r="C41" s="1212" t="s">
        <v>1117</v>
      </c>
      <c r="D41" s="1213"/>
      <c r="E41" s="1213"/>
      <c r="F41" s="1214"/>
      <c r="G41" s="1215" t="s">
        <v>30</v>
      </c>
      <c r="H41" s="853" t="s">
        <v>788</v>
      </c>
      <c r="I41" s="937">
        <f t="shared" ref="I41:I42" si="18">SUM(J41:U41)</f>
        <v>149000</v>
      </c>
      <c r="J41" s="937"/>
      <c r="K41" s="937"/>
      <c r="L41" s="937">
        <v>20000</v>
      </c>
      <c r="M41" s="937"/>
      <c r="N41" s="937">
        <v>25800</v>
      </c>
      <c r="O41" s="937">
        <v>25800</v>
      </c>
      <c r="P41" s="937">
        <v>25800</v>
      </c>
      <c r="Q41" s="937"/>
      <c r="R41" s="937"/>
      <c r="S41" s="937">
        <v>25800</v>
      </c>
      <c r="T41" s="937">
        <v>25800</v>
      </c>
      <c r="U41" s="937">
        <v>0</v>
      </c>
      <c r="V41" s="861"/>
      <c r="W41" s="834"/>
    </row>
    <row r="42" spans="1:23" s="835" customFormat="1" ht="45" customHeight="1">
      <c r="A42" s="1101"/>
      <c r="B42" s="867">
        <v>25</v>
      </c>
      <c r="C42" s="1212" t="s">
        <v>1118</v>
      </c>
      <c r="D42" s="1213"/>
      <c r="E42" s="1213"/>
      <c r="F42" s="872"/>
      <c r="G42" s="1216"/>
      <c r="H42" s="853" t="s">
        <v>788</v>
      </c>
      <c r="I42" s="937">
        <f t="shared" si="18"/>
        <v>1563000</v>
      </c>
      <c r="J42" s="937"/>
      <c r="K42" s="937"/>
      <c r="L42" s="937"/>
      <c r="M42" s="937"/>
      <c r="N42" s="937">
        <v>781500</v>
      </c>
      <c r="O42" s="937"/>
      <c r="P42" s="937"/>
      <c r="Q42" s="937"/>
      <c r="R42" s="937"/>
      <c r="S42" s="937">
        <v>781500</v>
      </c>
      <c r="T42" s="937"/>
      <c r="U42" s="937">
        <v>0</v>
      </c>
      <c r="V42" s="873"/>
      <c r="W42" s="834"/>
    </row>
    <row r="43" spans="1:23" s="831" customFormat="1" ht="45" customHeight="1">
      <c r="A43" s="855">
        <v>15</v>
      </c>
      <c r="B43" s="879">
        <v>22</v>
      </c>
      <c r="C43" s="1212" t="s">
        <v>1119</v>
      </c>
      <c r="D43" s="1213"/>
      <c r="E43" s="1213"/>
      <c r="F43" s="1214"/>
      <c r="G43" s="1217"/>
      <c r="H43" s="474" t="s">
        <v>500</v>
      </c>
      <c r="I43" s="830">
        <f t="shared" ref="I43" si="19">J43+K43+L43+M43+N43+O43+P43+Q43+R43+S43+T43+U43</f>
        <v>2481669</v>
      </c>
      <c r="J43" s="109"/>
      <c r="K43" s="109"/>
      <c r="L43" s="109">
        <f>8000+228000+185500+18569+10000+8000+8000</f>
        <v>466069</v>
      </c>
      <c r="M43" s="109">
        <f>8000+12000+70000+152000</f>
        <v>242000</v>
      </c>
      <c r="N43" s="109">
        <f t="shared" ref="N43:U43" si="20">8000+12000</f>
        <v>20000</v>
      </c>
      <c r="O43" s="109">
        <f>8000+12000+63600</f>
        <v>83600</v>
      </c>
      <c r="P43" s="109">
        <f t="shared" si="20"/>
        <v>20000</v>
      </c>
      <c r="Q43" s="109">
        <f t="shared" si="20"/>
        <v>20000</v>
      </c>
      <c r="R43" s="109">
        <f t="shared" si="20"/>
        <v>20000</v>
      </c>
      <c r="S43" s="109">
        <f>8000+12000+1100000+200000+250000</f>
        <v>1570000</v>
      </c>
      <c r="T43" s="109">
        <f t="shared" si="20"/>
        <v>20000</v>
      </c>
      <c r="U43" s="109">
        <f t="shared" si="20"/>
        <v>20000</v>
      </c>
      <c r="V43" s="866"/>
    </row>
    <row r="44" spans="1:23" s="835" customFormat="1" ht="45" customHeight="1">
      <c r="A44" s="679"/>
      <c r="B44" s="867">
        <v>22</v>
      </c>
      <c r="C44" s="1212" t="s">
        <v>1120</v>
      </c>
      <c r="D44" s="1213"/>
      <c r="E44" s="1213"/>
      <c r="F44" s="1214"/>
      <c r="G44" s="1235" t="s">
        <v>33</v>
      </c>
      <c r="H44" s="882"/>
      <c r="I44" s="109">
        <v>1008000</v>
      </c>
      <c r="J44" s="937"/>
      <c r="K44" s="937"/>
      <c r="L44" s="937"/>
      <c r="M44" s="937">
        <f>32000+80000</f>
        <v>112000</v>
      </c>
      <c r="N44" s="937">
        <f t="shared" ref="N44:U44" si="21">32000+80000</f>
        <v>112000</v>
      </c>
      <c r="O44" s="937">
        <f t="shared" si="21"/>
        <v>112000</v>
      </c>
      <c r="P44" s="937">
        <f t="shared" si="21"/>
        <v>112000</v>
      </c>
      <c r="Q44" s="937">
        <f t="shared" si="21"/>
        <v>112000</v>
      </c>
      <c r="R44" s="937">
        <f t="shared" si="21"/>
        <v>112000</v>
      </c>
      <c r="S44" s="937">
        <f t="shared" si="21"/>
        <v>112000</v>
      </c>
      <c r="T44" s="937">
        <f t="shared" si="21"/>
        <v>112000</v>
      </c>
      <c r="U44" s="937">
        <f t="shared" si="21"/>
        <v>112000</v>
      </c>
      <c r="V44" s="880"/>
      <c r="W44" s="834"/>
    </row>
    <row r="45" spans="1:23" s="835" customFormat="1" ht="45" customHeight="1">
      <c r="A45" s="764">
        <v>16</v>
      </c>
      <c r="B45" s="867">
        <v>25</v>
      </c>
      <c r="C45" s="1212" t="s">
        <v>1121</v>
      </c>
      <c r="D45" s="1213"/>
      <c r="E45" s="1213"/>
      <c r="F45" s="1214"/>
      <c r="G45" s="1236"/>
      <c r="H45" s="882" t="s">
        <v>1122</v>
      </c>
      <c r="I45" s="109">
        <v>4647680</v>
      </c>
      <c r="J45" s="937"/>
      <c r="K45" s="937"/>
      <c r="L45" s="937"/>
      <c r="M45" s="937"/>
      <c r="N45" s="937"/>
      <c r="O45" s="937"/>
      <c r="P45" s="937">
        <f>2000000+1718144</f>
        <v>3718144</v>
      </c>
      <c r="Q45" s="937">
        <f>429536+500000</f>
        <v>929536</v>
      </c>
      <c r="R45" s="109"/>
      <c r="S45" s="937"/>
      <c r="T45" s="937"/>
      <c r="U45" s="937"/>
      <c r="V45" s="861"/>
      <c r="W45" s="834"/>
    </row>
    <row r="46" spans="1:23" s="831" customFormat="1" ht="45" customHeight="1">
      <c r="A46" s="855"/>
      <c r="B46" s="879">
        <v>22</v>
      </c>
      <c r="C46" s="1212" t="s">
        <v>1123</v>
      </c>
      <c r="D46" s="1213"/>
      <c r="E46" s="1213"/>
      <c r="F46" s="1214"/>
      <c r="G46" s="1232" t="s">
        <v>41</v>
      </c>
      <c r="H46" s="853" t="s">
        <v>1124</v>
      </c>
      <c r="I46" s="830">
        <f t="shared" ref="I46" si="22">J46+K46+L46+M46+N46+O46+P46+Q46+R46+S46+T46+U46</f>
        <v>755769</v>
      </c>
      <c r="J46" s="109"/>
      <c r="K46" s="109"/>
      <c r="L46" s="109"/>
      <c r="M46" s="109">
        <f t="shared" ref="M46" si="23">88569</f>
        <v>88569</v>
      </c>
      <c r="N46" s="109"/>
      <c r="O46" s="109">
        <f>67200</f>
        <v>67200</v>
      </c>
      <c r="P46" s="109"/>
      <c r="Q46" s="109"/>
      <c r="R46" s="109"/>
      <c r="S46" s="109">
        <f>350000+250000</f>
        <v>600000</v>
      </c>
      <c r="T46" s="109"/>
      <c r="U46" s="109"/>
      <c r="V46" s="857"/>
    </row>
    <row r="47" spans="1:23" s="835" customFormat="1" ht="45" customHeight="1">
      <c r="A47" s="679"/>
      <c r="B47" s="867">
        <v>22</v>
      </c>
      <c r="C47" s="1212" t="s">
        <v>1111</v>
      </c>
      <c r="D47" s="1213"/>
      <c r="E47" s="1213"/>
      <c r="F47" s="1214"/>
      <c r="G47" s="1233"/>
      <c r="H47" s="853" t="s">
        <v>23</v>
      </c>
      <c r="I47" s="937">
        <f t="shared" ref="I47" si="24">SUM(J47:U47)</f>
        <v>242100</v>
      </c>
      <c r="J47" s="937"/>
      <c r="K47" s="937"/>
      <c r="L47" s="937">
        <v>30000</v>
      </c>
      <c r="M47" s="937"/>
      <c r="N47" s="937">
        <v>30300</v>
      </c>
      <c r="O47" s="937">
        <v>30300</v>
      </c>
      <c r="P47" s="937">
        <v>30300</v>
      </c>
      <c r="Q47" s="937">
        <v>30300</v>
      </c>
      <c r="R47" s="937">
        <v>30300</v>
      </c>
      <c r="S47" s="937">
        <v>30300</v>
      </c>
      <c r="T47" s="937">
        <v>30300</v>
      </c>
      <c r="U47" s="937">
        <v>0</v>
      </c>
      <c r="V47" s="861"/>
      <c r="W47" s="834"/>
    </row>
    <row r="48" spans="1:23" s="835" customFormat="1" ht="45" customHeight="1">
      <c r="A48" s="1101">
        <v>17</v>
      </c>
      <c r="B48" s="867">
        <v>22</v>
      </c>
      <c r="C48" s="1212" t="s">
        <v>1111</v>
      </c>
      <c r="D48" s="1213"/>
      <c r="E48" s="1213"/>
      <c r="F48" s="1214"/>
      <c r="G48" s="1215" t="s">
        <v>1125</v>
      </c>
      <c r="H48" s="853" t="s">
        <v>1126</v>
      </c>
      <c r="I48" s="937">
        <f t="shared" ref="I48:I51" si="25">SUM(J48:U48)</f>
        <v>540333</v>
      </c>
      <c r="J48" s="937"/>
      <c r="K48" s="937"/>
      <c r="L48" s="937"/>
      <c r="M48" s="937">
        <v>67541</v>
      </c>
      <c r="N48" s="937">
        <v>67541</v>
      </c>
      <c r="O48" s="937">
        <v>67541</v>
      </c>
      <c r="P48" s="937">
        <v>67542</v>
      </c>
      <c r="Q48" s="937">
        <v>67542</v>
      </c>
      <c r="R48" s="937">
        <v>67542</v>
      </c>
      <c r="S48" s="937">
        <v>67542</v>
      </c>
      <c r="T48" s="937">
        <v>67542</v>
      </c>
      <c r="U48" s="937">
        <v>0</v>
      </c>
      <c r="V48" s="861"/>
      <c r="W48" s="834"/>
    </row>
    <row r="49" spans="1:23" s="835" customFormat="1" ht="21">
      <c r="A49" s="1101"/>
      <c r="B49" s="867">
        <v>22</v>
      </c>
      <c r="C49" s="1212" t="s">
        <v>1127</v>
      </c>
      <c r="D49" s="1213"/>
      <c r="E49" s="1213"/>
      <c r="F49" s="872"/>
      <c r="G49" s="1216"/>
      <c r="H49" s="853" t="s">
        <v>1126</v>
      </c>
      <c r="I49" s="937">
        <f t="shared" si="25"/>
        <v>368167</v>
      </c>
      <c r="J49" s="937"/>
      <c r="K49" s="937"/>
      <c r="L49" s="937">
        <f>266667+101500</f>
        <v>368167</v>
      </c>
      <c r="M49" s="937"/>
      <c r="N49" s="937"/>
      <c r="O49" s="937"/>
      <c r="P49" s="937"/>
      <c r="Q49" s="937"/>
      <c r="R49" s="937"/>
      <c r="S49" s="937"/>
      <c r="T49" s="937"/>
      <c r="U49" s="937"/>
      <c r="V49" s="861"/>
      <c r="W49" s="834"/>
    </row>
    <row r="50" spans="1:23" s="835" customFormat="1" ht="21">
      <c r="A50" s="1101"/>
      <c r="B50" s="867">
        <v>22</v>
      </c>
      <c r="C50" s="1212" t="s">
        <v>1128</v>
      </c>
      <c r="D50" s="1213"/>
      <c r="E50" s="1213"/>
      <c r="F50" s="872"/>
      <c r="G50" s="1216"/>
      <c r="H50" s="853" t="s">
        <v>1126</v>
      </c>
      <c r="I50" s="937">
        <f t="shared" si="25"/>
        <v>49500</v>
      </c>
      <c r="J50" s="937"/>
      <c r="K50" s="937"/>
      <c r="L50" s="937">
        <v>49500</v>
      </c>
      <c r="M50" s="937"/>
      <c r="N50" s="937"/>
      <c r="O50" s="937"/>
      <c r="P50" s="937"/>
      <c r="Q50" s="937"/>
      <c r="R50" s="937"/>
      <c r="S50" s="937"/>
      <c r="T50" s="937"/>
      <c r="U50" s="937"/>
      <c r="V50" s="861"/>
      <c r="W50" s="834"/>
    </row>
    <row r="51" spans="1:23" s="835" customFormat="1" ht="21">
      <c r="A51" s="1101"/>
      <c r="B51" s="867">
        <v>25</v>
      </c>
      <c r="C51" s="1212" t="s">
        <v>1129</v>
      </c>
      <c r="D51" s="1213"/>
      <c r="E51" s="1213"/>
      <c r="F51" s="872"/>
      <c r="G51" s="1217"/>
      <c r="H51" s="853" t="s">
        <v>1126</v>
      </c>
      <c r="I51" s="937">
        <f t="shared" si="25"/>
        <v>800000</v>
      </c>
      <c r="J51" s="937"/>
      <c r="K51" s="937"/>
      <c r="L51" s="937">
        <v>800000</v>
      </c>
      <c r="M51" s="937"/>
      <c r="N51" s="937"/>
      <c r="O51" s="937"/>
      <c r="P51" s="937"/>
      <c r="Q51" s="937"/>
      <c r="R51" s="937"/>
      <c r="S51" s="937"/>
      <c r="T51" s="937"/>
      <c r="U51" s="937"/>
      <c r="V51" s="861"/>
      <c r="W51" s="834"/>
    </row>
    <row r="52" spans="1:23" s="829" customFormat="1" ht="69.75" customHeight="1">
      <c r="A52" s="679">
        <v>18</v>
      </c>
      <c r="B52" s="867">
        <v>22</v>
      </c>
      <c r="C52" s="1212" t="s">
        <v>1130</v>
      </c>
      <c r="D52" s="1213"/>
      <c r="E52" s="1213"/>
      <c r="F52" s="1214"/>
      <c r="G52" s="883" t="s">
        <v>1131</v>
      </c>
      <c r="H52" s="853" t="s">
        <v>1132</v>
      </c>
      <c r="I52" s="937">
        <f>SUM(J52:U52)</f>
        <v>4896000</v>
      </c>
      <c r="J52" s="937"/>
      <c r="K52" s="937"/>
      <c r="L52" s="937"/>
      <c r="M52" s="937"/>
      <c r="N52" s="937">
        <v>500000</v>
      </c>
      <c r="O52" s="937">
        <v>500000</v>
      </c>
      <c r="P52" s="937">
        <v>500000</v>
      </c>
      <c r="Q52" s="937">
        <v>240000</v>
      </c>
      <c r="R52" s="937">
        <v>440000</v>
      </c>
      <c r="S52" s="937"/>
      <c r="T52" s="937">
        <f>550000+505000-199000</f>
        <v>856000</v>
      </c>
      <c r="U52" s="937">
        <f>1100000+220000+35000+505000</f>
        <v>1860000</v>
      </c>
      <c r="V52" s="854"/>
      <c r="W52" s="828"/>
    </row>
    <row r="53" spans="1:23" s="835" customFormat="1" ht="59.25" customHeight="1">
      <c r="A53" s="561"/>
      <c r="B53" s="867">
        <v>22</v>
      </c>
      <c r="C53" s="1212" t="s">
        <v>1133</v>
      </c>
      <c r="D53" s="1213"/>
      <c r="E53" s="1213"/>
      <c r="F53" s="1214"/>
      <c r="G53" s="884"/>
      <c r="H53" s="853" t="s">
        <v>788</v>
      </c>
      <c r="I53" s="937">
        <f t="shared" ref="I53" si="26">SUM(J53:U53)</f>
        <v>349000</v>
      </c>
      <c r="J53" s="937"/>
      <c r="K53" s="937"/>
      <c r="L53" s="937">
        <v>30000</v>
      </c>
      <c r="M53" s="937">
        <v>39875</v>
      </c>
      <c r="N53" s="937">
        <v>39875</v>
      </c>
      <c r="O53" s="937">
        <v>39875</v>
      </c>
      <c r="P53" s="937">
        <v>39875</v>
      </c>
      <c r="Q53" s="937">
        <v>39875</v>
      </c>
      <c r="R53" s="937">
        <v>39875</v>
      </c>
      <c r="S53" s="937">
        <v>39875</v>
      </c>
      <c r="T53" s="937">
        <v>39875</v>
      </c>
      <c r="U53" s="937">
        <v>0</v>
      </c>
      <c r="V53" s="861"/>
      <c r="W53" s="834"/>
    </row>
    <row r="54" spans="1:23" s="835" customFormat="1" ht="49.5" customHeight="1">
      <c r="A54" s="863">
        <v>19</v>
      </c>
      <c r="B54" s="560">
        <v>22</v>
      </c>
      <c r="C54" s="1212" t="s">
        <v>1111</v>
      </c>
      <c r="D54" s="1213"/>
      <c r="E54" s="1213"/>
      <c r="F54" s="1214"/>
      <c r="G54" s="853" t="s">
        <v>983</v>
      </c>
      <c r="H54" s="853" t="s">
        <v>23</v>
      </c>
      <c r="I54" s="937">
        <f t="shared" ref="I54:I57" si="27">SUM(J54:U54)</f>
        <v>214500</v>
      </c>
      <c r="J54" s="937"/>
      <c r="K54" s="937"/>
      <c r="L54" s="937">
        <v>20000</v>
      </c>
      <c r="M54" s="937">
        <v>32416</v>
      </c>
      <c r="N54" s="937">
        <v>32416</v>
      </c>
      <c r="O54" s="937">
        <v>32417</v>
      </c>
      <c r="P54" s="937"/>
      <c r="Q54" s="937"/>
      <c r="R54" s="937">
        <v>32417</v>
      </c>
      <c r="S54" s="937">
        <v>32417</v>
      </c>
      <c r="T54" s="937">
        <v>32417</v>
      </c>
      <c r="U54" s="937">
        <v>0</v>
      </c>
      <c r="V54" s="861"/>
      <c r="W54" s="834"/>
    </row>
    <row r="55" spans="1:23" s="835" customFormat="1" ht="45" customHeight="1">
      <c r="A55" s="885">
        <v>20</v>
      </c>
      <c r="B55" s="560">
        <v>22</v>
      </c>
      <c r="C55" s="1212" t="s">
        <v>1134</v>
      </c>
      <c r="D55" s="1213"/>
      <c r="E55" s="1213"/>
      <c r="F55" s="1214"/>
      <c r="G55" s="853" t="s">
        <v>206</v>
      </c>
      <c r="H55" s="853" t="s">
        <v>1135</v>
      </c>
      <c r="I55" s="937">
        <f t="shared" si="27"/>
        <v>165000</v>
      </c>
      <c r="J55" s="937"/>
      <c r="K55" s="937"/>
      <c r="L55" s="937">
        <v>30000</v>
      </c>
      <c r="M55" s="937">
        <v>33750</v>
      </c>
      <c r="N55" s="937">
        <v>33750</v>
      </c>
      <c r="O55" s="937">
        <v>33750</v>
      </c>
      <c r="P55" s="937"/>
      <c r="Q55" s="937"/>
      <c r="R55" s="937"/>
      <c r="S55" s="937"/>
      <c r="T55" s="937">
        <v>33750</v>
      </c>
      <c r="U55" s="937">
        <v>0</v>
      </c>
      <c r="V55" s="861"/>
      <c r="W55" s="834"/>
    </row>
    <row r="56" spans="1:23" s="835" customFormat="1" ht="45" customHeight="1">
      <c r="A56" s="885">
        <v>21</v>
      </c>
      <c r="B56" s="560">
        <v>22</v>
      </c>
      <c r="C56" s="1212" t="s">
        <v>1136</v>
      </c>
      <c r="D56" s="1213"/>
      <c r="E56" s="1213"/>
      <c r="F56" s="1214"/>
      <c r="G56" s="853" t="s">
        <v>78</v>
      </c>
      <c r="H56" s="853" t="s">
        <v>788</v>
      </c>
      <c r="I56" s="937">
        <f t="shared" si="27"/>
        <v>386600</v>
      </c>
      <c r="J56" s="937"/>
      <c r="K56" s="937"/>
      <c r="L56" s="937">
        <v>30000</v>
      </c>
      <c r="M56" s="937">
        <v>44575</v>
      </c>
      <c r="N56" s="937">
        <v>44575</v>
      </c>
      <c r="O56" s="937">
        <v>44575</v>
      </c>
      <c r="P56" s="937">
        <v>44575</v>
      </c>
      <c r="Q56" s="937">
        <v>44575</v>
      </c>
      <c r="R56" s="937">
        <v>44575</v>
      </c>
      <c r="S56" s="937">
        <v>44575</v>
      </c>
      <c r="T56" s="937">
        <v>44575</v>
      </c>
      <c r="U56" s="937">
        <v>0</v>
      </c>
      <c r="V56" s="861"/>
      <c r="W56" s="834"/>
    </row>
    <row r="57" spans="1:23" s="835" customFormat="1" ht="45" customHeight="1">
      <c r="A57" s="864"/>
      <c r="B57" s="560">
        <v>22</v>
      </c>
      <c r="C57" s="1212" t="s">
        <v>1137</v>
      </c>
      <c r="D57" s="1213"/>
      <c r="E57" s="1213"/>
      <c r="F57" s="1214"/>
      <c r="G57" s="883"/>
      <c r="H57" s="853" t="s">
        <v>999</v>
      </c>
      <c r="I57" s="937">
        <f t="shared" si="27"/>
        <v>389000</v>
      </c>
      <c r="J57" s="937"/>
      <c r="K57" s="937"/>
      <c r="L57" s="937">
        <v>30000</v>
      </c>
      <c r="M57" s="937">
        <v>44875</v>
      </c>
      <c r="N57" s="937">
        <v>44875</v>
      </c>
      <c r="O57" s="937">
        <v>44875</v>
      </c>
      <c r="P57" s="937">
        <v>44875</v>
      </c>
      <c r="Q57" s="937">
        <v>44875</v>
      </c>
      <c r="R57" s="937">
        <v>44875</v>
      </c>
      <c r="S57" s="937">
        <v>44875</v>
      </c>
      <c r="T57" s="937">
        <v>44875</v>
      </c>
      <c r="U57" s="937">
        <v>0</v>
      </c>
      <c r="V57" s="861"/>
      <c r="W57" s="834"/>
    </row>
    <row r="58" spans="1:23" s="831" customFormat="1" ht="45" customHeight="1">
      <c r="A58" s="865">
        <v>22</v>
      </c>
      <c r="B58" s="879">
        <v>22</v>
      </c>
      <c r="C58" s="1212" t="s">
        <v>1138</v>
      </c>
      <c r="D58" s="1213"/>
      <c r="E58" s="1213"/>
      <c r="F58" s="1214"/>
      <c r="G58" s="886"/>
      <c r="H58" s="853" t="s">
        <v>1139</v>
      </c>
      <c r="I58" s="830">
        <f>J58+K58+L58+M58+N58+O58+P58+Q58+R58+S58+T58+U58</f>
        <v>612169</v>
      </c>
      <c r="J58" s="109"/>
      <c r="K58" s="109"/>
      <c r="L58" s="109"/>
      <c r="M58" s="109">
        <f>70000+18569</f>
        <v>88569</v>
      </c>
      <c r="N58" s="109"/>
      <c r="O58" s="109">
        <f>63600</f>
        <v>63600</v>
      </c>
      <c r="P58" s="109"/>
      <c r="Q58" s="109"/>
      <c r="R58" s="109">
        <f>150000</f>
        <v>150000</v>
      </c>
      <c r="S58" s="109">
        <f>60000+250000</f>
        <v>310000</v>
      </c>
      <c r="T58" s="109"/>
      <c r="U58" s="109"/>
      <c r="V58" s="866"/>
    </row>
    <row r="59" spans="1:23" s="829" customFormat="1" ht="45" customHeight="1">
      <c r="A59" s="764"/>
      <c r="B59" s="867">
        <v>22</v>
      </c>
      <c r="C59" s="1212" t="s">
        <v>1140</v>
      </c>
      <c r="D59" s="1213"/>
      <c r="E59" s="1213"/>
      <c r="F59" s="1214"/>
      <c r="G59" s="886" t="s">
        <v>47</v>
      </c>
      <c r="H59" s="521" t="s">
        <v>1141</v>
      </c>
      <c r="I59" s="937">
        <f>SUM(J59:U59)</f>
        <v>472000</v>
      </c>
      <c r="J59" s="937"/>
      <c r="K59" s="937"/>
      <c r="L59" s="937"/>
      <c r="M59" s="937"/>
      <c r="N59" s="937">
        <v>200000</v>
      </c>
      <c r="O59" s="937">
        <v>200000</v>
      </c>
      <c r="P59" s="937"/>
      <c r="Q59" s="937"/>
      <c r="R59" s="937"/>
      <c r="S59" s="937"/>
      <c r="T59" s="937"/>
      <c r="U59" s="937">
        <f>77000-5000</f>
        <v>72000</v>
      </c>
      <c r="V59" s="854"/>
      <c r="W59" s="828"/>
    </row>
    <row r="60" spans="1:23" s="829" customFormat="1" ht="45" customHeight="1">
      <c r="A60" s="764"/>
      <c r="B60" s="867">
        <v>22</v>
      </c>
      <c r="C60" s="1212" t="s">
        <v>1142</v>
      </c>
      <c r="D60" s="1213"/>
      <c r="E60" s="1213"/>
      <c r="F60" s="1214"/>
      <c r="G60" s="886"/>
      <c r="H60" s="473" t="s">
        <v>1143</v>
      </c>
      <c r="I60" s="937">
        <v>1188000</v>
      </c>
      <c r="J60" s="937"/>
      <c r="K60" s="937"/>
      <c r="L60" s="937"/>
      <c r="M60" s="109">
        <v>132000</v>
      </c>
      <c r="N60" s="109">
        <v>132000</v>
      </c>
      <c r="O60" s="109">
        <v>132000</v>
      </c>
      <c r="P60" s="109">
        <v>132000</v>
      </c>
      <c r="Q60" s="109">
        <v>132000</v>
      </c>
      <c r="R60" s="109">
        <v>132000</v>
      </c>
      <c r="S60" s="109">
        <v>132000</v>
      </c>
      <c r="T60" s="109">
        <v>132000</v>
      </c>
      <c r="U60" s="109">
        <v>132000</v>
      </c>
      <c r="V60" s="861"/>
      <c r="W60" s="828"/>
    </row>
    <row r="61" spans="1:23" s="831" customFormat="1" ht="45" customHeight="1">
      <c r="A61" s="865"/>
      <c r="B61" s="879">
        <v>22</v>
      </c>
      <c r="C61" s="1212" t="s">
        <v>1144</v>
      </c>
      <c r="D61" s="1213"/>
      <c r="E61" s="1213"/>
      <c r="F61" s="1213"/>
      <c r="G61" s="887"/>
      <c r="H61" s="888" t="s">
        <v>788</v>
      </c>
      <c r="I61" s="830">
        <f t="shared" ref="I61" si="28">J61+K61+L61+M61+N61+O61+P61+Q61+R61+S61+T61+U61</f>
        <v>915769</v>
      </c>
      <c r="J61" s="109"/>
      <c r="K61" s="109"/>
      <c r="L61" s="109"/>
      <c r="M61" s="109">
        <f t="shared" ref="M61" si="29">88569</f>
        <v>88569</v>
      </c>
      <c r="N61" s="109"/>
      <c r="O61" s="109">
        <f>127200</f>
        <v>127200</v>
      </c>
      <c r="P61" s="109"/>
      <c r="Q61" s="109"/>
      <c r="R61" s="109"/>
      <c r="S61" s="109">
        <f>200000+500000</f>
        <v>700000</v>
      </c>
      <c r="T61" s="109"/>
      <c r="U61" s="109"/>
      <c r="V61" s="866"/>
    </row>
    <row r="62" spans="1:23" s="835" customFormat="1" ht="45" customHeight="1">
      <c r="A62" s="764">
        <v>23</v>
      </c>
      <c r="B62" s="867">
        <v>22</v>
      </c>
      <c r="C62" s="1212" t="s">
        <v>1145</v>
      </c>
      <c r="D62" s="1213"/>
      <c r="E62" s="1213"/>
      <c r="F62" s="1213"/>
      <c r="G62" s="889" t="s">
        <v>77</v>
      </c>
      <c r="H62" s="890" t="s">
        <v>788</v>
      </c>
      <c r="I62" s="937">
        <f t="shared" ref="I62" si="30">SUM(J62:U62)</f>
        <v>473000</v>
      </c>
      <c r="J62" s="937"/>
      <c r="K62" s="937"/>
      <c r="L62" s="937">
        <v>30000</v>
      </c>
      <c r="M62" s="937">
        <v>55375</v>
      </c>
      <c r="N62" s="937">
        <v>55375</v>
      </c>
      <c r="O62" s="937">
        <v>55375</v>
      </c>
      <c r="P62" s="937">
        <v>55375</v>
      </c>
      <c r="Q62" s="937">
        <v>55375</v>
      </c>
      <c r="R62" s="937">
        <v>55375</v>
      </c>
      <c r="S62" s="937">
        <v>55375</v>
      </c>
      <c r="T62" s="937">
        <v>55375</v>
      </c>
      <c r="U62" s="937">
        <v>0</v>
      </c>
      <c r="V62" s="861"/>
      <c r="W62" s="834"/>
    </row>
    <row r="63" spans="1:23" s="829" customFormat="1" ht="45" customHeight="1">
      <c r="A63" s="764"/>
      <c r="B63" s="867">
        <v>22</v>
      </c>
      <c r="C63" s="1212" t="s">
        <v>1146</v>
      </c>
      <c r="D63" s="1213"/>
      <c r="E63" s="1213"/>
      <c r="F63" s="1213"/>
      <c r="G63" s="889"/>
      <c r="H63" s="890" t="s">
        <v>1147</v>
      </c>
      <c r="I63" s="937">
        <f>SUM(J63:U63)</f>
        <v>632000</v>
      </c>
      <c r="J63" s="937"/>
      <c r="K63" s="937"/>
      <c r="L63" s="937"/>
      <c r="M63" s="937"/>
      <c r="N63" s="937">
        <f>200000+5000</f>
        <v>205000</v>
      </c>
      <c r="O63" s="937">
        <f>200000+5000</f>
        <v>205000</v>
      </c>
      <c r="P63" s="937">
        <f>140000+5000</f>
        <v>145000</v>
      </c>
      <c r="Q63" s="937"/>
      <c r="R63" s="937"/>
      <c r="S63" s="937"/>
      <c r="T63" s="937"/>
      <c r="U63" s="937">
        <f>72000+5000</f>
        <v>77000</v>
      </c>
      <c r="V63" s="854"/>
      <c r="W63" s="828"/>
    </row>
    <row r="64" spans="1:23" s="835" customFormat="1" ht="45" customHeight="1">
      <c r="A64" s="679">
        <v>24</v>
      </c>
      <c r="B64" s="867">
        <v>22</v>
      </c>
      <c r="C64" s="1212" t="s">
        <v>1148</v>
      </c>
      <c r="D64" s="1213"/>
      <c r="E64" s="1213"/>
      <c r="F64" s="1213"/>
      <c r="G64" s="891" t="s">
        <v>598</v>
      </c>
      <c r="H64" s="890" t="s">
        <v>1149</v>
      </c>
      <c r="I64" s="937">
        <f t="shared" ref="I64" si="31">SUM(J64:U64)</f>
        <v>423000</v>
      </c>
      <c r="J64" s="937"/>
      <c r="K64" s="937"/>
      <c r="L64" s="937">
        <v>30000</v>
      </c>
      <c r="M64" s="937">
        <v>49125</v>
      </c>
      <c r="N64" s="937">
        <v>49125</v>
      </c>
      <c r="O64" s="937">
        <v>49125</v>
      </c>
      <c r="P64" s="937">
        <v>49125</v>
      </c>
      <c r="Q64" s="937">
        <v>49125</v>
      </c>
      <c r="R64" s="937">
        <v>49125</v>
      </c>
      <c r="S64" s="937">
        <v>49125</v>
      </c>
      <c r="T64" s="937">
        <v>49125</v>
      </c>
      <c r="U64" s="937">
        <v>0</v>
      </c>
      <c r="V64" s="861"/>
      <c r="W64" s="834"/>
    </row>
    <row r="65" spans="1:23" s="831" customFormat="1" ht="45" customHeight="1">
      <c r="A65" s="855"/>
      <c r="B65" s="879"/>
      <c r="C65" s="1212" t="s">
        <v>1150</v>
      </c>
      <c r="D65" s="1213"/>
      <c r="E65" s="1213"/>
      <c r="F65" s="1213"/>
      <c r="G65" s="892" t="s">
        <v>56</v>
      </c>
      <c r="H65" s="888" t="s">
        <v>495</v>
      </c>
      <c r="I65" s="830">
        <f t="shared" ref="I65" si="32">J65+K65+L65+M65+N65+O65+P65+Q65+R65+S65+T65+U65</f>
        <v>602169</v>
      </c>
      <c r="J65" s="109"/>
      <c r="K65" s="109"/>
      <c r="L65" s="109"/>
      <c r="M65" s="109">
        <f>28569+60000</f>
        <v>88569</v>
      </c>
      <c r="N65" s="109"/>
      <c r="O65" s="109">
        <f>63600</f>
        <v>63600</v>
      </c>
      <c r="P65" s="109"/>
      <c r="Q65" s="109"/>
      <c r="R65" s="109"/>
      <c r="S65" s="109">
        <f>200000+250000</f>
        <v>450000</v>
      </c>
      <c r="T65" s="109"/>
      <c r="U65" s="109"/>
      <c r="V65" s="866"/>
    </row>
    <row r="66" spans="1:23" s="835" customFormat="1" ht="45" customHeight="1">
      <c r="A66" s="679"/>
      <c r="B66" s="867">
        <v>22</v>
      </c>
      <c r="C66" s="1212" t="s">
        <v>1151</v>
      </c>
      <c r="D66" s="1213"/>
      <c r="E66" s="1213"/>
      <c r="F66" s="1213"/>
      <c r="G66" s="891"/>
      <c r="H66" s="890" t="s">
        <v>788</v>
      </c>
      <c r="I66" s="937">
        <f t="shared" ref="I66" si="33">SUM(J66:U66)</f>
        <v>417000</v>
      </c>
      <c r="J66" s="937"/>
      <c r="K66" s="937"/>
      <c r="L66" s="937">
        <v>30000</v>
      </c>
      <c r="M66" s="937">
        <v>48375</v>
      </c>
      <c r="N66" s="937">
        <v>48375</v>
      </c>
      <c r="O66" s="937">
        <v>48375</v>
      </c>
      <c r="P66" s="937">
        <v>48375</v>
      </c>
      <c r="Q66" s="937">
        <v>48375</v>
      </c>
      <c r="R66" s="937">
        <v>48375</v>
      </c>
      <c r="S66" s="937">
        <v>48375</v>
      </c>
      <c r="T66" s="937">
        <v>48375</v>
      </c>
      <c r="U66" s="937">
        <v>0</v>
      </c>
      <c r="V66" s="861"/>
      <c r="W66" s="834"/>
    </row>
    <row r="67" spans="1:23" s="831" customFormat="1" ht="45" customHeight="1">
      <c r="A67" s="855"/>
      <c r="B67" s="879">
        <v>22</v>
      </c>
      <c r="C67" s="1212" t="s">
        <v>1090</v>
      </c>
      <c r="D67" s="1213"/>
      <c r="E67" s="1213"/>
      <c r="F67" s="1213"/>
      <c r="G67" s="892" t="s">
        <v>76</v>
      </c>
      <c r="H67" s="893" t="s">
        <v>1152</v>
      </c>
      <c r="I67" s="830">
        <f t="shared" ref="I67" si="34">J67+K67+L67+M67+N67+O67+P67+Q67+R67+S67+T67+U67</f>
        <v>438569</v>
      </c>
      <c r="J67" s="109"/>
      <c r="K67" s="109"/>
      <c r="L67" s="109"/>
      <c r="M67" s="109">
        <f t="shared" ref="M67" si="35">88569</f>
        <v>88569</v>
      </c>
      <c r="N67" s="109"/>
      <c r="O67" s="109"/>
      <c r="P67" s="109"/>
      <c r="Q67" s="109"/>
      <c r="R67" s="109"/>
      <c r="S67" s="109">
        <f>350000</f>
        <v>350000</v>
      </c>
      <c r="T67" s="109"/>
      <c r="U67" s="109"/>
      <c r="V67" s="866"/>
    </row>
    <row r="68" spans="1:23" s="829" customFormat="1" ht="45" customHeight="1">
      <c r="A68" s="561">
        <v>25</v>
      </c>
      <c r="B68" s="867">
        <v>22</v>
      </c>
      <c r="C68" s="1212" t="s">
        <v>1153</v>
      </c>
      <c r="D68" s="1213"/>
      <c r="E68" s="1213"/>
      <c r="F68" s="1213"/>
      <c r="G68" s="894"/>
      <c r="H68" s="890" t="s">
        <v>1154</v>
      </c>
      <c r="I68" s="937">
        <f>SUM(J68:U68)</f>
        <v>1120000</v>
      </c>
      <c r="J68" s="937"/>
      <c r="K68" s="937"/>
      <c r="L68" s="937"/>
      <c r="M68" s="937"/>
      <c r="N68" s="937">
        <v>500000</v>
      </c>
      <c r="O68" s="937">
        <v>500000</v>
      </c>
      <c r="P68" s="937"/>
      <c r="Q68" s="937"/>
      <c r="R68" s="937"/>
      <c r="S68" s="937"/>
      <c r="T68" s="937"/>
      <c r="U68" s="937">
        <v>120000</v>
      </c>
      <c r="V68" s="854"/>
      <c r="W68" s="828"/>
    </row>
    <row r="69" spans="1:23" s="835" customFormat="1" ht="45" customHeight="1">
      <c r="A69" s="869">
        <v>26</v>
      </c>
      <c r="B69" s="560">
        <v>22</v>
      </c>
      <c r="C69" s="1212" t="s">
        <v>1155</v>
      </c>
      <c r="D69" s="1213"/>
      <c r="E69" s="1213"/>
      <c r="F69" s="1214"/>
      <c r="G69" s="889" t="s">
        <v>1156</v>
      </c>
      <c r="H69" s="853" t="s">
        <v>788</v>
      </c>
      <c r="I69" s="937">
        <f t="shared" ref="I69:I70" si="36">SUM(J69:U69)</f>
        <v>395667</v>
      </c>
      <c r="J69" s="937"/>
      <c r="K69" s="937"/>
      <c r="L69" s="937">
        <v>30000</v>
      </c>
      <c r="M69" s="937">
        <v>45709</v>
      </c>
      <c r="N69" s="937">
        <v>45709</v>
      </c>
      <c r="O69" s="937">
        <v>45709</v>
      </c>
      <c r="P69" s="937">
        <v>45708</v>
      </c>
      <c r="Q69" s="937">
        <v>45708</v>
      </c>
      <c r="R69" s="937">
        <v>45708</v>
      </c>
      <c r="S69" s="937">
        <v>45708</v>
      </c>
      <c r="T69" s="937">
        <v>45708</v>
      </c>
      <c r="U69" s="937">
        <v>0</v>
      </c>
      <c r="V69" s="861"/>
      <c r="W69" s="834"/>
    </row>
    <row r="70" spans="1:23" s="835" customFormat="1" ht="45" customHeight="1">
      <c r="A70" s="679"/>
      <c r="B70" s="867">
        <v>22</v>
      </c>
      <c r="C70" s="1212" t="s">
        <v>1111</v>
      </c>
      <c r="D70" s="1213"/>
      <c r="E70" s="1213"/>
      <c r="F70" s="1213"/>
      <c r="G70" s="891"/>
      <c r="H70" s="890" t="s">
        <v>822</v>
      </c>
      <c r="I70" s="937">
        <f t="shared" si="36"/>
        <v>433500</v>
      </c>
      <c r="J70" s="937"/>
      <c r="K70" s="937"/>
      <c r="L70" s="937">
        <v>30000</v>
      </c>
      <c r="M70" s="937">
        <v>50437</v>
      </c>
      <c r="N70" s="937">
        <v>50437</v>
      </c>
      <c r="O70" s="937">
        <v>50437</v>
      </c>
      <c r="P70" s="937">
        <v>50437</v>
      </c>
      <c r="Q70" s="937">
        <v>50438</v>
      </c>
      <c r="R70" s="937">
        <v>50438</v>
      </c>
      <c r="S70" s="937">
        <v>50438</v>
      </c>
      <c r="T70" s="937">
        <v>50438</v>
      </c>
      <c r="U70" s="937">
        <v>0</v>
      </c>
      <c r="V70" s="861"/>
      <c r="W70" s="834"/>
    </row>
    <row r="71" spans="1:23" s="831" customFormat="1" ht="45" customHeight="1">
      <c r="A71" s="855">
        <v>27</v>
      </c>
      <c r="B71" s="879">
        <v>22</v>
      </c>
      <c r="C71" s="1212" t="s">
        <v>1157</v>
      </c>
      <c r="D71" s="1213"/>
      <c r="E71" s="1213"/>
      <c r="F71" s="1213"/>
      <c r="G71" s="892" t="s">
        <v>65</v>
      </c>
      <c r="H71" s="890" t="s">
        <v>1158</v>
      </c>
      <c r="I71" s="830">
        <f t="shared" ref="I71" si="37">J71+K71+L71+M71+N71+O71+P71+Q71+R71+S71+T71+U71</f>
        <v>1990069</v>
      </c>
      <c r="J71" s="109"/>
      <c r="K71" s="109"/>
      <c r="L71" s="109">
        <f>8000+128000+100000+185500+10000+8000+8000</f>
        <v>447500</v>
      </c>
      <c r="M71" s="109">
        <f>8000+18569+152000</f>
        <v>178569</v>
      </c>
      <c r="N71" s="109">
        <f>8000</f>
        <v>8000</v>
      </c>
      <c r="O71" s="109">
        <f>8000</f>
        <v>8000</v>
      </c>
      <c r="P71" s="109">
        <f>8000</f>
        <v>8000</v>
      </c>
      <c r="Q71" s="109">
        <f>8000</f>
        <v>8000</v>
      </c>
      <c r="R71" s="109">
        <f>8000</f>
        <v>8000</v>
      </c>
      <c r="S71" s="109">
        <f>8000+1300000</f>
        <v>1308000</v>
      </c>
      <c r="T71" s="109">
        <f>8000</f>
        <v>8000</v>
      </c>
      <c r="U71" s="109">
        <f>8000</f>
        <v>8000</v>
      </c>
      <c r="V71" s="866"/>
    </row>
    <row r="72" spans="1:23" s="829" customFormat="1" ht="45" customHeight="1">
      <c r="A72" s="764"/>
      <c r="B72" s="867">
        <v>22</v>
      </c>
      <c r="C72" s="1212" t="s">
        <v>1159</v>
      </c>
      <c r="D72" s="1213"/>
      <c r="E72" s="1213"/>
      <c r="F72" s="1213"/>
      <c r="G72" s="886"/>
      <c r="H72" s="890" t="s">
        <v>1160</v>
      </c>
      <c r="I72" s="937">
        <f t="shared" ref="I72" si="38">SUM(J72:U72)</f>
        <v>904000</v>
      </c>
      <c r="J72" s="937"/>
      <c r="K72" s="937"/>
      <c r="L72" s="937"/>
      <c r="M72" s="937"/>
      <c r="N72" s="937">
        <v>400000</v>
      </c>
      <c r="O72" s="937">
        <v>400000</v>
      </c>
      <c r="P72" s="937"/>
      <c r="Q72" s="937"/>
      <c r="R72" s="937"/>
      <c r="S72" s="937"/>
      <c r="T72" s="937"/>
      <c r="U72" s="937">
        <v>104000</v>
      </c>
      <c r="V72" s="854"/>
      <c r="W72" s="828"/>
    </row>
    <row r="73" spans="1:23" s="835" customFormat="1" ht="45" customHeight="1">
      <c r="A73" s="679">
        <v>28</v>
      </c>
      <c r="B73" s="867">
        <v>22</v>
      </c>
      <c r="C73" s="1212" t="s">
        <v>1161</v>
      </c>
      <c r="D73" s="1213"/>
      <c r="E73" s="1213"/>
      <c r="F73" s="1213"/>
      <c r="G73" s="891"/>
      <c r="H73" s="890" t="s">
        <v>788</v>
      </c>
      <c r="I73" s="937">
        <f t="shared" ref="I73" si="39">SUM(J73:U73)</f>
        <v>329500</v>
      </c>
      <c r="J73" s="937"/>
      <c r="K73" s="937"/>
      <c r="L73" s="937">
        <v>30000</v>
      </c>
      <c r="M73" s="937">
        <v>37437</v>
      </c>
      <c r="N73" s="937">
        <v>37437</v>
      </c>
      <c r="O73" s="937">
        <v>37437</v>
      </c>
      <c r="P73" s="937">
        <v>37437</v>
      </c>
      <c r="Q73" s="937">
        <v>37438</v>
      </c>
      <c r="R73" s="937">
        <v>37438</v>
      </c>
      <c r="S73" s="937">
        <v>37438</v>
      </c>
      <c r="T73" s="937">
        <v>37438</v>
      </c>
      <c r="U73" s="937">
        <v>0</v>
      </c>
      <c r="V73" s="880"/>
      <c r="W73" s="834"/>
    </row>
    <row r="74" spans="1:23" s="831" customFormat="1" ht="45" customHeight="1">
      <c r="A74" s="855"/>
      <c r="B74" s="879">
        <v>22</v>
      </c>
      <c r="C74" s="1212" t="s">
        <v>1162</v>
      </c>
      <c r="D74" s="1213"/>
      <c r="E74" s="1213"/>
      <c r="F74" s="1213"/>
      <c r="G74" s="892" t="s">
        <v>60</v>
      </c>
      <c r="H74" s="890" t="s">
        <v>1163</v>
      </c>
      <c r="I74" s="830">
        <f t="shared" ref="I74" si="40">J74+K74+L74+M74+N74+O74+P74+Q74+R74+S74+T74+U74</f>
        <v>346569</v>
      </c>
      <c r="J74" s="109"/>
      <c r="K74" s="109"/>
      <c r="L74" s="109">
        <f>8000*3</f>
        <v>24000</v>
      </c>
      <c r="M74" s="109">
        <f>8000+250569</f>
        <v>258569</v>
      </c>
      <c r="N74" s="109">
        <f>8000</f>
        <v>8000</v>
      </c>
      <c r="O74" s="109">
        <f>8000</f>
        <v>8000</v>
      </c>
      <c r="P74" s="109">
        <f>8000</f>
        <v>8000</v>
      </c>
      <c r="Q74" s="109">
        <f>8000</f>
        <v>8000</v>
      </c>
      <c r="R74" s="109">
        <f>8000</f>
        <v>8000</v>
      </c>
      <c r="S74" s="109">
        <f>8000</f>
        <v>8000</v>
      </c>
      <c r="T74" s="109">
        <f>8000</f>
        <v>8000</v>
      </c>
      <c r="U74" s="109">
        <f>8000</f>
        <v>8000</v>
      </c>
      <c r="V74" s="866"/>
    </row>
    <row r="75" spans="1:23" s="829" customFormat="1" ht="45" customHeight="1">
      <c r="A75" s="679"/>
      <c r="B75" s="867">
        <v>22</v>
      </c>
      <c r="C75" s="1212" t="s">
        <v>1164</v>
      </c>
      <c r="D75" s="1213"/>
      <c r="E75" s="1213"/>
      <c r="F75" s="1213"/>
      <c r="G75" s="891" t="s">
        <v>598</v>
      </c>
      <c r="H75" s="890" t="s">
        <v>1165</v>
      </c>
      <c r="I75" s="937">
        <f>SUM(J75:U75)</f>
        <v>472000</v>
      </c>
      <c r="J75" s="937"/>
      <c r="K75" s="937"/>
      <c r="L75" s="937"/>
      <c r="M75" s="937"/>
      <c r="N75" s="937">
        <v>200000</v>
      </c>
      <c r="O75" s="937">
        <v>200000</v>
      </c>
      <c r="P75" s="937"/>
      <c r="Q75" s="937"/>
      <c r="R75" s="937"/>
      <c r="S75" s="937"/>
      <c r="T75" s="937"/>
      <c r="U75" s="937">
        <v>72000</v>
      </c>
      <c r="V75" s="854"/>
      <c r="W75" s="828"/>
    </row>
    <row r="76" spans="1:23" s="831" customFormat="1" ht="45" customHeight="1">
      <c r="A76" s="855">
        <v>29</v>
      </c>
      <c r="B76" s="879">
        <v>22</v>
      </c>
      <c r="C76" s="1212" t="s">
        <v>1166</v>
      </c>
      <c r="D76" s="1213"/>
      <c r="E76" s="1213"/>
      <c r="F76" s="1213"/>
      <c r="G76" s="892" t="s">
        <v>70</v>
      </c>
      <c r="H76" s="893" t="s">
        <v>1167</v>
      </c>
      <c r="I76" s="830">
        <f t="shared" ref="I76" si="41">J76+K76+L76+M76+N76+O76+P76+Q76+R76+S76+T76+U76</f>
        <v>438569</v>
      </c>
      <c r="J76" s="109"/>
      <c r="K76" s="109"/>
      <c r="L76" s="109"/>
      <c r="M76" s="109">
        <f t="shared" ref="M76" si="42">88569</f>
        <v>88569</v>
      </c>
      <c r="N76" s="109"/>
      <c r="O76" s="109"/>
      <c r="P76" s="109"/>
      <c r="Q76" s="109"/>
      <c r="R76" s="109"/>
      <c r="S76" s="109">
        <f>350000</f>
        <v>350000</v>
      </c>
      <c r="T76" s="109"/>
      <c r="U76" s="109"/>
      <c r="V76" s="866"/>
    </row>
    <row r="77" spans="1:23" s="835" customFormat="1" ht="45" customHeight="1">
      <c r="A77" s="1101"/>
      <c r="B77" s="867">
        <v>22</v>
      </c>
      <c r="C77" s="1212" t="s">
        <v>1111</v>
      </c>
      <c r="D77" s="1213"/>
      <c r="E77" s="1213"/>
      <c r="F77" s="1213"/>
      <c r="G77" s="886"/>
      <c r="H77" s="890" t="s">
        <v>1168</v>
      </c>
      <c r="I77" s="937">
        <f t="shared" ref="I77:I81" si="43">SUM(J77:U77)</f>
        <v>206100</v>
      </c>
      <c r="J77" s="937"/>
      <c r="K77" s="937"/>
      <c r="L77" s="937">
        <v>30000</v>
      </c>
      <c r="M77" s="937"/>
      <c r="N77" s="937">
        <v>29350</v>
      </c>
      <c r="O77" s="937">
        <v>29350</v>
      </c>
      <c r="P77" s="937">
        <v>29350</v>
      </c>
      <c r="Q77" s="937">
        <v>29350</v>
      </c>
      <c r="R77" s="937"/>
      <c r="S77" s="937">
        <v>29350</v>
      </c>
      <c r="T77" s="937">
        <v>29350</v>
      </c>
      <c r="U77" s="937">
        <v>0</v>
      </c>
      <c r="V77" s="861"/>
      <c r="W77" s="834"/>
    </row>
    <row r="78" spans="1:23" s="835" customFormat="1" ht="45" customHeight="1">
      <c r="A78" s="1101"/>
      <c r="B78" s="867">
        <v>25</v>
      </c>
      <c r="C78" s="1212" t="s">
        <v>1169</v>
      </c>
      <c r="D78" s="1213"/>
      <c r="E78" s="1213"/>
      <c r="F78" s="1213"/>
      <c r="G78" s="895"/>
      <c r="H78" s="896" t="s">
        <v>1168</v>
      </c>
      <c r="I78" s="937">
        <f t="shared" si="43"/>
        <v>1250000</v>
      </c>
      <c r="J78" s="937"/>
      <c r="K78" s="937"/>
      <c r="L78" s="937"/>
      <c r="M78" s="937"/>
      <c r="N78" s="937"/>
      <c r="O78" s="937"/>
      <c r="P78" s="937">
        <v>625000</v>
      </c>
      <c r="Q78" s="937"/>
      <c r="R78" s="937"/>
      <c r="S78" s="937"/>
      <c r="T78" s="937">
        <v>625000</v>
      </c>
      <c r="U78" s="937">
        <v>0</v>
      </c>
      <c r="V78" s="861"/>
      <c r="W78" s="834"/>
    </row>
    <row r="79" spans="1:23" s="829" customFormat="1" ht="45" customHeight="1">
      <c r="A79" s="679"/>
      <c r="B79" s="867">
        <v>22</v>
      </c>
      <c r="C79" s="1212" t="s">
        <v>1170</v>
      </c>
      <c r="D79" s="1213"/>
      <c r="E79" s="1213"/>
      <c r="F79" s="1213"/>
      <c r="G79" s="897"/>
      <c r="H79" s="896" t="s">
        <v>1171</v>
      </c>
      <c r="I79" s="937">
        <v>688000</v>
      </c>
      <c r="J79" s="937"/>
      <c r="K79" s="937"/>
      <c r="L79" s="937"/>
      <c r="M79" s="937"/>
      <c r="N79" s="937">
        <v>300000</v>
      </c>
      <c r="O79" s="937">
        <v>300000</v>
      </c>
      <c r="P79" s="937"/>
      <c r="Q79" s="937"/>
      <c r="R79" s="937"/>
      <c r="S79" s="937"/>
      <c r="T79" s="937">
        <v>88000</v>
      </c>
      <c r="U79" s="937"/>
      <c r="V79" s="854"/>
      <c r="W79" s="828"/>
    </row>
    <row r="80" spans="1:23" s="831" customFormat="1" ht="45" customHeight="1">
      <c r="A80" s="855">
        <v>30</v>
      </c>
      <c r="B80" s="879">
        <v>22</v>
      </c>
      <c r="C80" s="1212" t="s">
        <v>1172</v>
      </c>
      <c r="D80" s="1213"/>
      <c r="E80" s="1213"/>
      <c r="F80" s="1213"/>
      <c r="G80" s="897" t="s">
        <v>34</v>
      </c>
      <c r="H80" s="896" t="s">
        <v>1173</v>
      </c>
      <c r="I80" s="830">
        <f t="shared" ref="I80" si="44">J80+K80+L80+M80+N80+O80+P80+Q80+R80+S80+T80+U80</f>
        <v>438569</v>
      </c>
      <c r="J80" s="109"/>
      <c r="K80" s="109"/>
      <c r="L80" s="109"/>
      <c r="M80" s="109">
        <f t="shared" ref="M80" si="45">88569</f>
        <v>88569</v>
      </c>
      <c r="N80" s="109"/>
      <c r="O80" s="109"/>
      <c r="P80" s="109"/>
      <c r="Q80" s="109"/>
      <c r="R80" s="109"/>
      <c r="S80" s="109">
        <f>350000</f>
        <v>350000</v>
      </c>
      <c r="T80" s="109"/>
      <c r="U80" s="109"/>
      <c r="V80" s="866"/>
    </row>
    <row r="81" spans="1:25" s="835" customFormat="1" ht="45" customHeight="1">
      <c r="A81" s="764"/>
      <c r="B81" s="898">
        <v>22</v>
      </c>
      <c r="C81" s="1237" t="s">
        <v>1111</v>
      </c>
      <c r="D81" s="1238"/>
      <c r="E81" s="1238"/>
      <c r="F81" s="1238"/>
      <c r="G81" s="765"/>
      <c r="H81" s="899" t="s">
        <v>1174</v>
      </c>
      <c r="I81" s="939">
        <f t="shared" si="43"/>
        <v>337000</v>
      </c>
      <c r="J81" s="939"/>
      <c r="K81" s="939"/>
      <c r="L81" s="939">
        <v>30000</v>
      </c>
      <c r="M81" s="939">
        <v>38375</v>
      </c>
      <c r="N81" s="939">
        <v>38375</v>
      </c>
      <c r="O81" s="939">
        <v>38375</v>
      </c>
      <c r="P81" s="939">
        <v>38375</v>
      </c>
      <c r="Q81" s="939">
        <v>38375</v>
      </c>
      <c r="R81" s="939">
        <v>38375</v>
      </c>
      <c r="S81" s="939">
        <v>38375</v>
      </c>
      <c r="T81" s="939">
        <v>38375</v>
      </c>
      <c r="U81" s="939">
        <v>0</v>
      </c>
      <c r="V81" s="900"/>
      <c r="W81" s="834"/>
    </row>
    <row r="82" spans="1:25" s="840" customFormat="1" ht="23.25" customHeight="1">
      <c r="A82" s="1239"/>
      <c r="B82" s="1239"/>
      <c r="C82" s="1239"/>
      <c r="D82" s="1239"/>
      <c r="E82" s="1239"/>
      <c r="F82" s="1239"/>
      <c r="G82" s="1239"/>
      <c r="H82" s="1239"/>
      <c r="I82" s="940">
        <f>SUM(I8:I81)</f>
        <v>68340000</v>
      </c>
      <c r="J82" s="941"/>
      <c r="K82" s="941"/>
      <c r="L82" s="335">
        <f>SUM(L8:L81)</f>
        <v>5308029</v>
      </c>
      <c r="M82" s="335">
        <f t="shared" ref="M82:U82" si="46">SUM(M8:M81)</f>
        <v>3654987</v>
      </c>
      <c r="N82" s="335">
        <f t="shared" si="46"/>
        <v>7142511</v>
      </c>
      <c r="O82" s="335">
        <f t="shared" si="46"/>
        <v>11738452</v>
      </c>
      <c r="P82" s="335">
        <f t="shared" si="46"/>
        <v>8332878</v>
      </c>
      <c r="Q82" s="335">
        <f t="shared" si="46"/>
        <v>3798474</v>
      </c>
      <c r="R82" s="335">
        <f t="shared" si="46"/>
        <v>2560171</v>
      </c>
      <c r="S82" s="335">
        <f t="shared" si="46"/>
        <v>16997669</v>
      </c>
      <c r="T82" s="335">
        <f t="shared" si="46"/>
        <v>5344072</v>
      </c>
      <c r="U82" s="335">
        <f t="shared" si="46"/>
        <v>3462757</v>
      </c>
      <c r="V82" s="901"/>
    </row>
    <row r="83" spans="1:25" s="757" customFormat="1" ht="26.25" customHeight="1">
      <c r="A83" s="1240" t="s">
        <v>1175</v>
      </c>
      <c r="B83" s="1240"/>
      <c r="C83" s="1240"/>
      <c r="D83" s="1240"/>
      <c r="E83" s="1240"/>
      <c r="F83" s="1240"/>
      <c r="G83" s="1240"/>
      <c r="H83" s="1240"/>
      <c r="I83" s="1240"/>
      <c r="J83" s="1240"/>
      <c r="K83" s="1240"/>
      <c r="L83" s="1240"/>
      <c r="M83" s="1240"/>
      <c r="N83" s="1240"/>
      <c r="O83" s="902"/>
      <c r="P83" s="903"/>
      <c r="Q83" s="903"/>
      <c r="R83" s="903"/>
      <c r="S83" s="903"/>
      <c r="T83" s="903"/>
      <c r="U83" s="903"/>
      <c r="V83" s="903"/>
    </row>
    <row r="84" spans="1:25" s="757" customFormat="1" ht="26.25" customHeight="1">
      <c r="A84" s="1241" t="s">
        <v>226</v>
      </c>
      <c r="B84" s="1241"/>
      <c r="C84" s="1241"/>
      <c r="D84" s="1241" t="s">
        <v>232</v>
      </c>
      <c r="E84" s="1241"/>
      <c r="F84" s="1197" t="s">
        <v>1176</v>
      </c>
      <c r="G84" s="1197"/>
      <c r="H84" s="1197"/>
      <c r="I84" s="1197"/>
      <c r="J84" s="1197"/>
      <c r="K84" s="1197"/>
      <c r="L84" s="1197"/>
      <c r="M84" s="1197"/>
      <c r="N84" s="1197"/>
      <c r="O84" s="1197"/>
      <c r="P84" s="1197"/>
      <c r="Q84" s="1197"/>
      <c r="R84" s="1197"/>
      <c r="S84" s="1197"/>
      <c r="T84" s="1197"/>
      <c r="U84" s="1197"/>
      <c r="V84" s="1197"/>
    </row>
    <row r="85" spans="1:25" s="757" customFormat="1" ht="33.75" customHeight="1">
      <c r="A85" s="904"/>
      <c r="B85" s="1242" t="s">
        <v>234</v>
      </c>
      <c r="C85" s="1242"/>
      <c r="D85" s="1240" t="s">
        <v>235</v>
      </c>
      <c r="E85" s="1240"/>
      <c r="F85" s="905"/>
      <c r="G85" s="905"/>
      <c r="H85" s="905"/>
      <c r="I85" s="906"/>
      <c r="J85" s="905"/>
      <c r="K85" s="907"/>
      <c r="L85" s="902"/>
      <c r="M85" s="908"/>
      <c r="N85" s="909"/>
      <c r="O85" s="902"/>
      <c r="P85" s="903"/>
      <c r="Q85" s="903"/>
      <c r="R85" s="903"/>
      <c r="S85" s="903"/>
      <c r="T85" s="903"/>
      <c r="U85" s="903"/>
      <c r="V85" s="903"/>
    </row>
    <row r="86" spans="1:25" s="757" customFormat="1" ht="37.5" customHeight="1">
      <c r="A86" s="904"/>
      <c r="B86" s="1243" t="s">
        <v>120</v>
      </c>
      <c r="C86" s="1243"/>
      <c r="D86" s="1240" t="s">
        <v>236</v>
      </c>
      <c r="E86" s="1240"/>
      <c r="F86" s="905"/>
      <c r="G86" s="905"/>
      <c r="H86" s="905"/>
      <c r="I86" s="906"/>
      <c r="J86" s="905"/>
      <c r="K86" s="907"/>
      <c r="L86" s="902"/>
      <c r="M86" s="908"/>
      <c r="N86" s="909"/>
      <c r="O86" s="902"/>
      <c r="P86" s="903"/>
      <c r="Q86" s="903"/>
      <c r="R86" s="903"/>
      <c r="S86" s="903"/>
      <c r="T86" s="903"/>
      <c r="U86" s="903"/>
      <c r="V86" s="903"/>
    </row>
    <row r="87" spans="1:25" s="757" customFormat="1" ht="36" customHeight="1">
      <c r="A87" s="911"/>
      <c r="B87" s="1245" t="s">
        <v>237</v>
      </c>
      <c r="C87" s="1245"/>
      <c r="D87" s="1186" t="s">
        <v>238</v>
      </c>
      <c r="E87" s="1186"/>
      <c r="F87" s="912"/>
      <c r="G87" s="912"/>
      <c r="H87" s="912"/>
      <c r="I87" s="913"/>
      <c r="J87" s="912"/>
      <c r="K87" s="914"/>
      <c r="L87" s="915"/>
      <c r="M87" s="916"/>
      <c r="N87" s="917"/>
      <c r="O87" s="902"/>
      <c r="P87" s="903"/>
      <c r="Q87" s="903"/>
      <c r="R87" s="903"/>
      <c r="S87" s="903"/>
      <c r="T87" s="903"/>
      <c r="U87" s="903"/>
      <c r="V87" s="903"/>
    </row>
    <row r="88" spans="1:25" s="757" customFormat="1" ht="41.25" customHeight="1">
      <c r="A88" s="904"/>
      <c r="B88" s="1242" t="s">
        <v>322</v>
      </c>
      <c r="C88" s="1242"/>
      <c r="D88" s="1243" t="s">
        <v>323</v>
      </c>
      <c r="E88" s="1243"/>
      <c r="F88" s="1243"/>
      <c r="G88" s="1243"/>
      <c r="H88" s="918"/>
      <c r="I88" s="919"/>
      <c r="J88" s="918"/>
      <c r="K88" s="907"/>
      <c r="L88" s="920"/>
      <c r="M88" s="908"/>
      <c r="N88" s="909"/>
      <c r="O88" s="902"/>
      <c r="P88" s="903"/>
      <c r="Q88" s="903"/>
      <c r="R88" s="903"/>
      <c r="S88" s="903"/>
      <c r="T88" s="903"/>
      <c r="U88" s="903"/>
      <c r="V88" s="903"/>
    </row>
    <row r="89" spans="1:25" s="757" customFormat="1" ht="41.25" customHeight="1">
      <c r="A89" s="930"/>
      <c r="B89" s="1240" t="s">
        <v>1179</v>
      </c>
      <c r="C89" s="1240"/>
      <c r="D89" s="910" t="s">
        <v>1180</v>
      </c>
      <c r="E89" s="910"/>
      <c r="F89" s="910"/>
      <c r="G89" s="910"/>
      <c r="H89" s="918"/>
      <c r="I89" s="919"/>
      <c r="J89" s="918"/>
      <c r="K89" s="907"/>
      <c r="L89" s="920"/>
      <c r="M89" s="908"/>
      <c r="N89" s="909"/>
      <c r="O89" s="910"/>
      <c r="P89" s="903"/>
      <c r="Q89" s="903"/>
      <c r="R89" s="903"/>
      <c r="S89" s="903"/>
      <c r="T89" s="903"/>
      <c r="U89" s="903"/>
      <c r="V89" s="903"/>
    </row>
    <row r="90" spans="1:25" s="757" customFormat="1" ht="29.25" customHeight="1">
      <c r="A90" s="1246" t="s">
        <v>324</v>
      </c>
      <c r="B90" s="1246"/>
      <c r="C90" s="1246"/>
      <c r="D90" s="1246"/>
      <c r="E90" s="1246"/>
      <c r="F90" s="1246"/>
      <c r="G90" s="1246"/>
      <c r="H90" s="1246"/>
      <c r="I90" s="1246"/>
      <c r="J90" s="1246"/>
      <c r="K90" s="1246"/>
      <c r="L90" s="1246"/>
      <c r="M90" s="1246"/>
      <c r="N90" s="1246"/>
      <c r="O90" s="1246"/>
      <c r="P90" s="1246"/>
      <c r="Q90" s="1246"/>
      <c r="R90" s="1246"/>
      <c r="S90" s="1246"/>
      <c r="T90" s="1246"/>
      <c r="U90" s="1246"/>
      <c r="V90" s="1246"/>
    </row>
    <row r="91" spans="1:25" s="757" customFormat="1" ht="32.25" customHeight="1">
      <c r="A91" s="904"/>
      <c r="B91" s="1242" t="s">
        <v>239</v>
      </c>
      <c r="C91" s="1242"/>
      <c r="D91" s="1240" t="s">
        <v>240</v>
      </c>
      <c r="E91" s="1240"/>
      <c r="F91" s="918"/>
      <c r="G91" s="918"/>
      <c r="H91" s="918"/>
      <c r="I91" s="919"/>
      <c r="J91" s="918"/>
      <c r="K91" s="907"/>
      <c r="L91" s="920"/>
      <c r="M91" s="908"/>
      <c r="N91" s="909"/>
      <c r="O91" s="902"/>
      <c r="P91" s="903"/>
      <c r="Q91" s="903"/>
      <c r="R91" s="903"/>
      <c r="S91" s="903"/>
      <c r="T91" s="903"/>
      <c r="U91" s="903"/>
      <c r="V91" s="903"/>
    </row>
    <row r="92" spans="1:25" s="757" customFormat="1" ht="32.25" customHeight="1">
      <c r="A92" s="904"/>
      <c r="B92" s="1244" t="s">
        <v>241</v>
      </c>
      <c r="C92" s="1244"/>
      <c r="D92" s="1240" t="s">
        <v>242</v>
      </c>
      <c r="E92" s="1240"/>
      <c r="F92" s="918"/>
      <c r="G92" s="918"/>
      <c r="H92" s="918"/>
      <c r="I92" s="919"/>
      <c r="J92" s="918"/>
      <c r="K92" s="907"/>
      <c r="L92" s="920"/>
      <c r="M92" s="908"/>
      <c r="N92" s="909"/>
      <c r="O92" s="902"/>
      <c r="P92" s="903"/>
      <c r="Q92" s="903"/>
      <c r="R92" s="903"/>
      <c r="S92" s="903"/>
      <c r="T92" s="903"/>
      <c r="U92" s="903"/>
      <c r="V92" s="903"/>
    </row>
    <row r="93" spans="1:25" s="757" customFormat="1" ht="26.25" customHeight="1">
      <c r="A93" s="904"/>
      <c r="B93" s="920" t="s">
        <v>124</v>
      </c>
      <c r="C93" s="920"/>
      <c r="D93" s="1240" t="s">
        <v>125</v>
      </c>
      <c r="E93" s="1240"/>
      <c r="F93" s="918"/>
      <c r="G93" s="918"/>
      <c r="H93" s="918"/>
      <c r="I93" s="919"/>
      <c r="J93" s="918"/>
      <c r="K93" s="907"/>
      <c r="L93" s="920"/>
      <c r="M93" s="908"/>
      <c r="N93" s="909"/>
      <c r="O93" s="902"/>
      <c r="P93" s="903"/>
      <c r="Q93" s="903"/>
      <c r="R93" s="903"/>
      <c r="S93" s="903"/>
      <c r="T93" s="903"/>
      <c r="U93" s="903"/>
      <c r="V93"/>
      <c r="W93"/>
      <c r="X93"/>
      <c r="Y93"/>
    </row>
    <row r="94" spans="1:25" s="757" customFormat="1" ht="26.25" customHeight="1">
      <c r="A94" s="921"/>
      <c r="B94" s="923"/>
      <c r="C94" s="923"/>
      <c r="D94" s="922"/>
      <c r="E94" s="1251" t="s">
        <v>319</v>
      </c>
      <c r="F94" s="1251"/>
      <c r="G94" s="924"/>
      <c r="H94" s="925"/>
      <c r="I94" s="926"/>
      <c r="J94" s="927"/>
      <c r="K94" s="928"/>
      <c r="L94" s="1252" t="s">
        <v>1177</v>
      </c>
      <c r="M94" s="1252"/>
      <c r="N94" s="1252"/>
      <c r="O94" s="925"/>
      <c r="P94" s="925"/>
      <c r="Q94" s="925"/>
      <c r="R94" s="1253" t="s">
        <v>244</v>
      </c>
      <c r="S94" s="1253"/>
      <c r="T94" s="1253"/>
      <c r="U94" s="972"/>
      <c r="V94"/>
      <c r="W94"/>
      <c r="X94"/>
      <c r="Y94"/>
    </row>
    <row r="95" spans="1:25" s="757" customFormat="1" ht="26.25" customHeight="1">
      <c r="A95" s="904"/>
      <c r="B95" s="903"/>
      <c r="C95" s="903"/>
      <c r="D95" s="929"/>
      <c r="E95" s="1248" t="s">
        <v>314</v>
      </c>
      <c r="F95" s="1248"/>
      <c r="G95" s="1248"/>
      <c r="H95" s="931"/>
      <c r="I95" s="932"/>
      <c r="J95" s="933"/>
      <c r="K95" s="907"/>
      <c r="L95" s="1240" t="s">
        <v>621</v>
      </c>
      <c r="M95" s="1240"/>
      <c r="N95" s="1240"/>
      <c r="O95" s="931"/>
      <c r="P95" s="903"/>
      <c r="Q95" s="903"/>
      <c r="R95" s="1240" t="s">
        <v>1178</v>
      </c>
      <c r="S95" s="1240"/>
      <c r="T95" s="1240"/>
      <c r="U95" s="903"/>
      <c r="V95" s="903"/>
    </row>
    <row r="96" spans="1:25" s="757" customFormat="1" ht="26.25" customHeight="1" thickBot="1">
      <c r="A96" s="904"/>
      <c r="B96" s="903"/>
      <c r="C96" s="903"/>
      <c r="D96" s="929"/>
      <c r="E96" s="1248" t="s">
        <v>315</v>
      </c>
      <c r="F96" s="1248"/>
      <c r="G96" s="1248"/>
      <c r="H96" s="931"/>
      <c r="I96" s="932"/>
      <c r="J96" s="933"/>
      <c r="K96" s="934"/>
      <c r="L96" s="1240" t="s">
        <v>245</v>
      </c>
      <c r="M96" s="1240"/>
      <c r="N96" s="1240"/>
      <c r="O96" s="931"/>
      <c r="P96" s="903"/>
      <c r="Q96" s="903"/>
      <c r="R96" s="1249" t="s">
        <v>318</v>
      </c>
      <c r="S96" s="1249"/>
      <c r="T96" s="1249"/>
      <c r="U96" s="903"/>
      <c r="V96" s="903"/>
    </row>
    <row r="97" spans="1:22">
      <c r="A97" s="841"/>
      <c r="B97" s="1250"/>
      <c r="C97" s="1250"/>
      <c r="D97" s="1250"/>
      <c r="E97" s="842"/>
      <c r="F97" s="1250"/>
      <c r="G97" s="1250"/>
      <c r="H97" s="1250"/>
      <c r="I97" s="1250"/>
      <c r="J97" s="842"/>
      <c r="K97" s="842"/>
      <c r="L97" s="842"/>
      <c r="M97" s="842"/>
      <c r="N97" s="842"/>
      <c r="O97" s="842"/>
      <c r="P97" s="1250"/>
      <c r="Q97" s="1250"/>
      <c r="R97" s="1250"/>
      <c r="S97" s="1250"/>
      <c r="T97" s="1250"/>
      <c r="U97" s="1250"/>
      <c r="V97" s="1250"/>
    </row>
    <row r="98" spans="1:22" ht="32.25" customHeight="1">
      <c r="C98" s="842"/>
      <c r="I98" s="842"/>
      <c r="M98" s="823"/>
      <c r="P98" s="1247"/>
      <c r="Q98" s="1247"/>
      <c r="R98" s="1247"/>
      <c r="S98" s="1247"/>
      <c r="T98" s="1247"/>
      <c r="U98" s="1247"/>
      <c r="V98" s="1247"/>
    </row>
  </sheetData>
  <mergeCells count="142">
    <mergeCell ref="P98:V98"/>
    <mergeCell ref="E96:G96"/>
    <mergeCell ref="L96:N96"/>
    <mergeCell ref="R96:T96"/>
    <mergeCell ref="B97:D97"/>
    <mergeCell ref="F97:I97"/>
    <mergeCell ref="P97:V97"/>
    <mergeCell ref="D93:E93"/>
    <mergeCell ref="E94:F94"/>
    <mergeCell ref="L94:N94"/>
    <mergeCell ref="R94:T94"/>
    <mergeCell ref="E95:G95"/>
    <mergeCell ref="L95:N95"/>
    <mergeCell ref="R95:T95"/>
    <mergeCell ref="B88:C88"/>
    <mergeCell ref="D88:G88"/>
    <mergeCell ref="B91:C91"/>
    <mergeCell ref="D91:E91"/>
    <mergeCell ref="B92:C92"/>
    <mergeCell ref="D92:E92"/>
    <mergeCell ref="B85:C85"/>
    <mergeCell ref="D85:E85"/>
    <mergeCell ref="B86:C86"/>
    <mergeCell ref="D86:E86"/>
    <mergeCell ref="B87:C87"/>
    <mergeCell ref="D87:E87"/>
    <mergeCell ref="A90:V90"/>
    <mergeCell ref="B89:C89"/>
    <mergeCell ref="C81:F81"/>
    <mergeCell ref="A82:H82"/>
    <mergeCell ref="A83:N83"/>
    <mergeCell ref="A84:C84"/>
    <mergeCell ref="D84:E84"/>
    <mergeCell ref="C76:F76"/>
    <mergeCell ref="A77:A78"/>
    <mergeCell ref="C77:F77"/>
    <mergeCell ref="C78:F78"/>
    <mergeCell ref="C79:F79"/>
    <mergeCell ref="C80:F80"/>
    <mergeCell ref="C70:F70"/>
    <mergeCell ref="C71:F71"/>
    <mergeCell ref="C72:F72"/>
    <mergeCell ref="C73:F73"/>
    <mergeCell ref="C74:F74"/>
    <mergeCell ref="C75:F75"/>
    <mergeCell ref="C64:F64"/>
    <mergeCell ref="C65:F65"/>
    <mergeCell ref="C66:F66"/>
    <mergeCell ref="C67:F67"/>
    <mergeCell ref="C68:F68"/>
    <mergeCell ref="C69:F69"/>
    <mergeCell ref="C58:F58"/>
    <mergeCell ref="C59:F59"/>
    <mergeCell ref="C60:F60"/>
    <mergeCell ref="C61:F61"/>
    <mergeCell ref="C62:F62"/>
    <mergeCell ref="C63:F63"/>
    <mergeCell ref="C52:F52"/>
    <mergeCell ref="C53:F53"/>
    <mergeCell ref="C54:F54"/>
    <mergeCell ref="C55:F55"/>
    <mergeCell ref="C56:F56"/>
    <mergeCell ref="C57:F57"/>
    <mergeCell ref="A48:A51"/>
    <mergeCell ref="C48:F48"/>
    <mergeCell ref="G48:G51"/>
    <mergeCell ref="C49:E49"/>
    <mergeCell ref="C50:E50"/>
    <mergeCell ref="C51:E51"/>
    <mergeCell ref="C44:F44"/>
    <mergeCell ref="G44:G45"/>
    <mergeCell ref="C45:F45"/>
    <mergeCell ref="C46:F46"/>
    <mergeCell ref="G46:G47"/>
    <mergeCell ref="C47:F47"/>
    <mergeCell ref="C38:F38"/>
    <mergeCell ref="C39:F39"/>
    <mergeCell ref="G39:G40"/>
    <mergeCell ref="C40:F40"/>
    <mergeCell ref="A41:A42"/>
    <mergeCell ref="C41:F41"/>
    <mergeCell ref="G41:G43"/>
    <mergeCell ref="C42:E42"/>
    <mergeCell ref="C43:F43"/>
    <mergeCell ref="C33:F33"/>
    <mergeCell ref="G33:G35"/>
    <mergeCell ref="C34:F34"/>
    <mergeCell ref="C35:F35"/>
    <mergeCell ref="C36:F36"/>
    <mergeCell ref="G36:G37"/>
    <mergeCell ref="C37:F37"/>
    <mergeCell ref="C27:F27"/>
    <mergeCell ref="G27:G29"/>
    <mergeCell ref="A28:A29"/>
    <mergeCell ref="C28:F28"/>
    <mergeCell ref="C29:E29"/>
    <mergeCell ref="C30:F30"/>
    <mergeCell ref="G30:G32"/>
    <mergeCell ref="C31:F31"/>
    <mergeCell ref="C32:E32"/>
    <mergeCell ref="C20:F20"/>
    <mergeCell ref="C21:F21"/>
    <mergeCell ref="G21:G23"/>
    <mergeCell ref="C22:E22"/>
    <mergeCell ref="C23:F23"/>
    <mergeCell ref="C24:F24"/>
    <mergeCell ref="G24:G26"/>
    <mergeCell ref="C25:F25"/>
    <mergeCell ref="C26:E26"/>
    <mergeCell ref="C19:F19"/>
    <mergeCell ref="V6:V7"/>
    <mergeCell ref="C8:F8"/>
    <mergeCell ref="G8:G13"/>
    <mergeCell ref="C9:F9"/>
    <mergeCell ref="C10:F10"/>
    <mergeCell ref="C11:F11"/>
    <mergeCell ref="C12:F12"/>
    <mergeCell ref="C13:F13"/>
    <mergeCell ref="A1:B1"/>
    <mergeCell ref="C1:E1"/>
    <mergeCell ref="H1:T1"/>
    <mergeCell ref="A2:B2"/>
    <mergeCell ref="C2:E2"/>
    <mergeCell ref="H2:T3"/>
    <mergeCell ref="A3:B3"/>
    <mergeCell ref="C3:E3"/>
    <mergeCell ref="F84:V84"/>
    <mergeCell ref="A4:B4"/>
    <mergeCell ref="C4:E4"/>
    <mergeCell ref="H4:T4"/>
    <mergeCell ref="A6:A7"/>
    <mergeCell ref="B6:B7"/>
    <mergeCell ref="C6:F7"/>
    <mergeCell ref="G6:H6"/>
    <mergeCell ref="I6:I7"/>
    <mergeCell ref="J6:U6"/>
    <mergeCell ref="C14:F14"/>
    <mergeCell ref="C15:F15"/>
    <mergeCell ref="C16:F16"/>
    <mergeCell ref="C17:F17"/>
    <mergeCell ref="G17:G19"/>
    <mergeCell ref="C18:F18"/>
  </mergeCells>
  <printOptions horizontalCentered="1"/>
  <pageMargins left="0.25" right="0.28999999999999998" top="0.32" bottom="0.31" header="0.33" footer="0.26"/>
  <pageSetup scale="6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4"/>
  <sheetViews>
    <sheetView rightToLeft="1" view="pageBreakPreview" topLeftCell="A141" zoomScaleSheetLayoutView="100" workbookViewId="0">
      <selection activeCell="E152" sqref="E152:F152"/>
    </sheetView>
  </sheetViews>
  <sheetFormatPr defaultRowHeight="15"/>
  <cols>
    <col min="1" max="1" width="22.85546875" style="538" customWidth="1"/>
    <col min="2" max="2" width="13.42578125" style="538" customWidth="1"/>
    <col min="3" max="3" width="10.42578125" style="538" customWidth="1"/>
    <col min="4" max="4" width="18.28515625" style="538" customWidth="1"/>
    <col min="5" max="5" width="16.140625" style="538" customWidth="1"/>
    <col min="6" max="6" width="14.28515625" style="538" customWidth="1"/>
    <col min="7" max="7" width="12.7109375" style="538" customWidth="1"/>
    <col min="8" max="8" width="11.42578125" style="538" customWidth="1"/>
    <col min="9" max="9" width="18.7109375" style="538" customWidth="1"/>
    <col min="10" max="10" width="16.28515625" style="538" customWidth="1"/>
    <col min="11" max="12" width="9.140625" style="538"/>
    <col min="13" max="13" width="14" style="538" customWidth="1"/>
    <col min="14" max="16384" width="9.140625" style="538"/>
  </cols>
  <sheetData>
    <row r="1" spans="1:9" ht="24">
      <c r="A1" s="1258" t="s">
        <v>131</v>
      </c>
      <c r="B1" s="1258"/>
      <c r="C1" s="1258"/>
      <c r="D1" s="1258"/>
      <c r="E1" s="1258"/>
      <c r="F1" s="1258"/>
      <c r="G1" s="1258"/>
      <c r="H1" s="1258"/>
      <c r="I1" s="1258"/>
    </row>
    <row r="2" spans="1:9" ht="24">
      <c r="A2" s="1258" t="s">
        <v>132</v>
      </c>
      <c r="B2" s="1258"/>
      <c r="C2" s="1258"/>
      <c r="D2" s="1258"/>
      <c r="E2" s="1258"/>
      <c r="F2" s="1258"/>
      <c r="G2" s="1258"/>
      <c r="H2" s="1258"/>
      <c r="I2" s="1258"/>
    </row>
    <row r="3" spans="1:9" ht="24">
      <c r="A3" s="1258" t="s">
        <v>133</v>
      </c>
      <c r="B3" s="1258"/>
      <c r="C3" s="1258"/>
      <c r="D3" s="1258"/>
      <c r="E3" s="1258"/>
      <c r="F3" s="1258"/>
      <c r="G3" s="1258"/>
      <c r="H3" s="1258"/>
      <c r="I3" s="1258"/>
    </row>
    <row r="4" spans="1:9" ht="21" customHeight="1">
      <c r="A4" s="1259" t="s">
        <v>134</v>
      </c>
      <c r="B4" s="1259"/>
      <c r="C4" s="1259"/>
      <c r="D4" s="1259"/>
      <c r="E4" s="1259"/>
      <c r="F4" s="1259"/>
      <c r="G4" s="1259"/>
      <c r="H4" s="1259"/>
      <c r="I4" s="1259"/>
    </row>
    <row r="5" spans="1:9" ht="18.75" customHeight="1">
      <c r="A5" s="1259" t="s">
        <v>135</v>
      </c>
      <c r="B5" s="1259"/>
      <c r="C5" s="1259"/>
      <c r="D5" s="1260" t="s">
        <v>684</v>
      </c>
      <c r="E5" s="1260"/>
      <c r="F5" s="942"/>
      <c r="G5" s="943"/>
      <c r="H5" s="943"/>
      <c r="I5" s="943"/>
    </row>
    <row r="6" spans="1:9" ht="24">
      <c r="A6" s="1254" t="s">
        <v>137</v>
      </c>
      <c r="B6" s="1254"/>
      <c r="C6" s="1254"/>
      <c r="D6" s="1254"/>
      <c r="E6" s="1254"/>
      <c r="F6" s="1254"/>
      <c r="G6" s="1254"/>
      <c r="H6" s="1254"/>
      <c r="I6" s="1254"/>
    </row>
    <row r="7" spans="1:9" ht="22.5">
      <c r="A7" s="1255" t="s">
        <v>138</v>
      </c>
      <c r="B7" s="1255"/>
      <c r="C7" s="1256" t="s">
        <v>139</v>
      </c>
      <c r="D7" s="1256"/>
      <c r="E7" s="944"/>
      <c r="F7" s="944" t="s">
        <v>140</v>
      </c>
      <c r="G7" s="945"/>
      <c r="H7" s="945" t="s">
        <v>141</v>
      </c>
      <c r="I7" s="945" t="s">
        <v>142</v>
      </c>
    </row>
    <row r="8" spans="1:9" ht="22.5">
      <c r="A8" s="1257" t="s">
        <v>143</v>
      </c>
      <c r="B8" s="1257"/>
      <c r="C8" s="1257"/>
      <c r="D8" s="1257"/>
      <c r="E8" s="1256"/>
      <c r="F8" s="1256"/>
      <c r="G8" s="1256"/>
      <c r="H8" s="1256"/>
      <c r="I8" s="1256"/>
    </row>
    <row r="9" spans="1:9" ht="22.5">
      <c r="A9" s="1257" t="s">
        <v>144</v>
      </c>
      <c r="B9" s="1257"/>
      <c r="C9" s="1257"/>
      <c r="D9" s="1257"/>
      <c r="E9" s="1256"/>
      <c r="F9" s="1256"/>
      <c r="G9" s="1256"/>
      <c r="H9" s="1256"/>
      <c r="I9" s="1256"/>
    </row>
    <row r="10" spans="1:9" ht="22.5">
      <c r="A10" s="1257" t="s">
        <v>145</v>
      </c>
      <c r="B10" s="1257"/>
      <c r="C10" s="1257"/>
      <c r="D10" s="1257"/>
      <c r="E10" s="1256"/>
      <c r="F10" s="1256"/>
      <c r="G10" s="1256"/>
      <c r="H10" s="1256"/>
      <c r="I10" s="1256"/>
    </row>
    <row r="11" spans="1:9" ht="22.5">
      <c r="A11" s="1257" t="s">
        <v>146</v>
      </c>
      <c r="B11" s="1257"/>
      <c r="C11" s="1257"/>
      <c r="D11" s="1257"/>
      <c r="E11" s="1266"/>
      <c r="F11" s="1266"/>
      <c r="G11" s="1266"/>
      <c r="H11" s="1266"/>
      <c r="I11" s="1266"/>
    </row>
    <row r="12" spans="1:9" ht="22.5">
      <c r="A12" s="1261">
        <v>1396</v>
      </c>
      <c r="B12" s="1261"/>
      <c r="C12" s="1261"/>
      <c r="D12" s="1261"/>
      <c r="E12" s="1262"/>
      <c r="F12" s="1262"/>
      <c r="G12" s="1262"/>
      <c r="H12" s="1262"/>
      <c r="I12" s="1262"/>
    </row>
    <row r="13" spans="1:9" ht="22.5">
      <c r="A13" s="1261">
        <v>1399</v>
      </c>
      <c r="B13" s="1261"/>
      <c r="C13" s="1261"/>
      <c r="D13" s="1261"/>
      <c r="E13" s="1262"/>
      <c r="F13" s="1262"/>
      <c r="G13" s="1262"/>
      <c r="H13" s="1262"/>
      <c r="I13" s="1262"/>
    </row>
    <row r="14" spans="1:9" ht="22.5">
      <c r="A14" s="1261" t="s">
        <v>147</v>
      </c>
      <c r="B14" s="1261"/>
      <c r="C14" s="1261"/>
      <c r="D14" s="1261"/>
      <c r="E14" s="1263"/>
      <c r="F14" s="1263"/>
      <c r="G14" s="1263"/>
      <c r="H14" s="1263"/>
      <c r="I14" s="1263"/>
    </row>
    <row r="15" spans="1:9" ht="24">
      <c r="A15" s="1264" t="s">
        <v>148</v>
      </c>
      <c r="B15" s="1264"/>
      <c r="C15" s="1264"/>
      <c r="D15" s="1264"/>
      <c r="E15" s="1264"/>
      <c r="F15" s="1264"/>
      <c r="G15" s="1264"/>
      <c r="H15" s="1264"/>
      <c r="I15" s="1264"/>
    </row>
    <row r="16" spans="1:9" ht="135.75" customHeight="1">
      <c r="A16" s="1265" t="s">
        <v>1187</v>
      </c>
      <c r="B16" s="1265"/>
      <c r="C16" s="1265"/>
      <c r="D16" s="1265"/>
      <c r="E16" s="1265"/>
      <c r="F16" s="1265"/>
      <c r="G16" s="1265"/>
      <c r="H16" s="1265"/>
      <c r="I16" s="1265"/>
    </row>
    <row r="17" spans="1:9" ht="92.25" customHeight="1">
      <c r="A17" s="1265"/>
      <c r="B17" s="1265"/>
      <c r="C17" s="1265"/>
      <c r="D17" s="1265"/>
      <c r="E17" s="1265"/>
      <c r="F17" s="1265"/>
      <c r="G17" s="1265"/>
      <c r="H17" s="1265"/>
      <c r="I17" s="1265"/>
    </row>
    <row r="18" spans="1:9" ht="51" customHeight="1">
      <c r="A18" s="1265"/>
      <c r="B18" s="1265"/>
      <c r="C18" s="1265"/>
      <c r="D18" s="1265"/>
      <c r="E18" s="1265"/>
      <c r="F18" s="1265"/>
      <c r="G18" s="1265"/>
      <c r="H18" s="1265"/>
      <c r="I18" s="1265"/>
    </row>
    <row r="19" spans="1:9" ht="31.5" customHeight="1">
      <c r="A19" s="1265"/>
      <c r="B19" s="1265"/>
      <c r="C19" s="1265"/>
      <c r="D19" s="1265"/>
      <c r="E19" s="1265"/>
      <c r="F19" s="1265"/>
      <c r="G19" s="1265"/>
      <c r="H19" s="1265"/>
      <c r="I19" s="1265"/>
    </row>
    <row r="20" spans="1:9" ht="22.5" customHeight="1">
      <c r="A20" s="1264" t="s">
        <v>150</v>
      </c>
      <c r="B20" s="1264"/>
      <c r="C20" s="1264"/>
      <c r="D20" s="1264"/>
      <c r="E20" s="1264"/>
      <c r="F20" s="1264"/>
      <c r="G20" s="1264"/>
      <c r="H20" s="1264"/>
      <c r="I20" s="1264"/>
    </row>
    <row r="21" spans="1:9">
      <c r="A21" s="1265" t="s">
        <v>1186</v>
      </c>
      <c r="B21" s="1265"/>
      <c r="C21" s="1265"/>
      <c r="D21" s="1265"/>
      <c r="E21" s="1265"/>
      <c r="F21" s="1265"/>
      <c r="G21" s="1265"/>
      <c r="H21" s="1265"/>
      <c r="I21" s="1265"/>
    </row>
    <row r="22" spans="1:9">
      <c r="A22" s="1265"/>
      <c r="B22" s="1265"/>
      <c r="C22" s="1265"/>
      <c r="D22" s="1265"/>
      <c r="E22" s="1265"/>
      <c r="F22" s="1265"/>
      <c r="G22" s="1265"/>
      <c r="H22" s="1265"/>
      <c r="I22" s="1265"/>
    </row>
    <row r="23" spans="1:9">
      <c r="A23" s="1265"/>
      <c r="B23" s="1265"/>
      <c r="C23" s="1265"/>
      <c r="D23" s="1265"/>
      <c r="E23" s="1265"/>
      <c r="F23" s="1265"/>
      <c r="G23" s="1265"/>
      <c r="H23" s="1265"/>
      <c r="I23" s="1265"/>
    </row>
    <row r="24" spans="1:9" ht="196.5" customHeight="1">
      <c r="A24" s="1265"/>
      <c r="B24" s="1265"/>
      <c r="C24" s="1265"/>
      <c r="D24" s="1265"/>
      <c r="E24" s="1265"/>
      <c r="F24" s="1265"/>
      <c r="G24" s="1265"/>
      <c r="H24" s="1265"/>
      <c r="I24" s="1265"/>
    </row>
    <row r="25" spans="1:9" ht="126.75" customHeight="1">
      <c r="A25" s="1272" t="s">
        <v>1188</v>
      </c>
      <c r="B25" s="1272"/>
      <c r="C25" s="1272"/>
      <c r="D25" s="1272"/>
      <c r="E25" s="1272"/>
      <c r="F25" s="1272"/>
      <c r="G25" s="1272"/>
      <c r="H25" s="1272"/>
      <c r="I25" s="1272"/>
    </row>
    <row r="26" spans="1:9" ht="36.75" customHeight="1">
      <c r="A26" s="1267" t="s">
        <v>153</v>
      </c>
      <c r="B26" s="1267"/>
      <c r="C26" s="1273"/>
      <c r="D26" s="1273"/>
      <c r="E26" s="946" t="s">
        <v>154</v>
      </c>
      <c r="F26" s="1273" t="s">
        <v>155</v>
      </c>
      <c r="G26" s="1273"/>
      <c r="H26" s="1273"/>
      <c r="I26" s="947" t="s">
        <v>156</v>
      </c>
    </row>
    <row r="27" spans="1:9" ht="21" customHeight="1">
      <c r="A27" s="1267" t="s">
        <v>157</v>
      </c>
      <c r="B27" s="1267"/>
      <c r="C27" s="1268" t="s">
        <v>158</v>
      </c>
      <c r="D27" s="1268"/>
      <c r="E27" s="948" t="s">
        <v>159</v>
      </c>
      <c r="F27" s="1269" t="s">
        <v>160</v>
      </c>
      <c r="G27" s="1269"/>
      <c r="H27" s="1270"/>
      <c r="I27" s="949">
        <v>700007218</v>
      </c>
    </row>
    <row r="28" spans="1:9" ht="23.25" customHeight="1">
      <c r="A28" s="1271" t="s">
        <v>161</v>
      </c>
      <c r="B28" s="1271"/>
      <c r="C28" s="1270"/>
      <c r="D28" s="1270"/>
      <c r="E28" s="950"/>
      <c r="F28" s="1270"/>
      <c r="G28" s="1270"/>
      <c r="H28" s="1270"/>
      <c r="I28" s="951"/>
    </row>
    <row r="29" spans="1:9" ht="28.5" customHeight="1">
      <c r="A29" s="1267" t="s">
        <v>162</v>
      </c>
      <c r="B29" s="1267"/>
      <c r="C29" s="1268" t="s">
        <v>158</v>
      </c>
      <c r="D29" s="1268"/>
      <c r="E29" s="1276" t="s">
        <v>633</v>
      </c>
      <c r="F29" s="1276"/>
      <c r="G29" s="1276"/>
      <c r="H29" s="1276"/>
      <c r="I29" s="1276"/>
    </row>
    <row r="30" spans="1:9" ht="23.25" customHeight="1">
      <c r="A30" s="1267" t="s">
        <v>164</v>
      </c>
      <c r="B30" s="1267"/>
      <c r="C30" s="1267"/>
      <c r="D30" s="1267"/>
      <c r="E30" s="1270"/>
      <c r="F30" s="1270"/>
      <c r="G30" s="1270"/>
      <c r="H30" s="1270"/>
      <c r="I30" s="1270"/>
    </row>
    <row r="31" spans="1:9" ht="26.25" customHeight="1">
      <c r="A31" s="1274" t="s">
        <v>165</v>
      </c>
      <c r="B31" s="1274"/>
      <c r="C31" s="1274"/>
      <c r="D31" s="1274"/>
      <c r="E31" s="1355" t="s">
        <v>689</v>
      </c>
      <c r="F31" s="1355"/>
      <c r="G31" s="1355"/>
      <c r="H31" s="1355"/>
      <c r="I31" s="1355"/>
    </row>
    <row r="32" spans="1:9" ht="22.5" customHeight="1">
      <c r="A32" s="1274" t="s">
        <v>167</v>
      </c>
      <c r="B32" s="1274"/>
      <c r="C32" s="1274"/>
      <c r="D32" s="1274"/>
      <c r="E32" s="1275" t="s">
        <v>168</v>
      </c>
      <c r="F32" s="1275"/>
      <c r="G32" s="1275"/>
      <c r="H32" s="1275"/>
      <c r="I32" s="1275"/>
    </row>
    <row r="33" spans="1:9" ht="22.5" customHeight="1">
      <c r="A33" s="1274" t="s">
        <v>169</v>
      </c>
      <c r="B33" s="1274"/>
      <c r="C33" s="1274"/>
      <c r="D33" s="1274"/>
      <c r="E33" s="1275" t="s">
        <v>170</v>
      </c>
      <c r="F33" s="1275"/>
      <c r="G33" s="1275"/>
      <c r="H33" s="1275"/>
      <c r="I33" s="1275"/>
    </row>
    <row r="34" spans="1:9" ht="41.25" customHeight="1">
      <c r="A34" s="1274" t="s">
        <v>171</v>
      </c>
      <c r="B34" s="1274"/>
      <c r="C34" s="1274"/>
      <c r="D34" s="1274"/>
      <c r="E34" s="1275" t="s">
        <v>172</v>
      </c>
      <c r="F34" s="1275"/>
      <c r="G34" s="1275"/>
      <c r="H34" s="1275"/>
      <c r="I34" s="1275"/>
    </row>
    <row r="35" spans="1:9" ht="32.25" customHeight="1">
      <c r="A35" s="1280" t="s">
        <v>173</v>
      </c>
      <c r="B35" s="1280"/>
      <c r="C35" s="1280"/>
      <c r="D35" s="1280"/>
      <c r="E35" s="1280"/>
      <c r="F35" s="1280"/>
      <c r="G35" s="1280"/>
      <c r="H35" s="1280"/>
      <c r="I35" s="1280"/>
    </row>
    <row r="36" spans="1:9">
      <c r="A36" s="1281" t="s">
        <v>174</v>
      </c>
      <c r="B36" s="1281"/>
      <c r="C36" s="1281"/>
      <c r="D36" s="1281"/>
      <c r="E36" s="1281"/>
      <c r="F36" s="1281"/>
      <c r="G36" s="1281"/>
      <c r="H36" s="1281"/>
      <c r="I36" s="1281"/>
    </row>
    <row r="37" spans="1:9" ht="71.25" customHeight="1">
      <c r="A37" s="1281"/>
      <c r="B37" s="1281"/>
      <c r="C37" s="1281"/>
      <c r="D37" s="1281"/>
      <c r="E37" s="1281"/>
      <c r="F37" s="1281"/>
      <c r="G37" s="1281"/>
      <c r="H37" s="1281"/>
      <c r="I37" s="1281"/>
    </row>
    <row r="38" spans="1:9" hidden="1">
      <c r="A38" s="1281"/>
      <c r="B38" s="1281"/>
      <c r="C38" s="1281"/>
      <c r="D38" s="1281"/>
      <c r="E38" s="1281"/>
      <c r="F38" s="1281"/>
      <c r="G38" s="1281"/>
      <c r="H38" s="1281"/>
      <c r="I38" s="1281"/>
    </row>
    <row r="39" spans="1:9" ht="6.75" hidden="1" customHeight="1">
      <c r="A39" s="1281"/>
      <c r="B39" s="1281"/>
      <c r="C39" s="1281"/>
      <c r="D39" s="1281"/>
      <c r="E39" s="1281"/>
      <c r="F39" s="1281"/>
      <c r="G39" s="1281"/>
      <c r="H39" s="1281"/>
      <c r="I39" s="1281"/>
    </row>
    <row r="40" spans="1:9" ht="20.25" customHeight="1">
      <c r="A40" s="1282" t="s">
        <v>175</v>
      </c>
      <c r="B40" s="1282"/>
      <c r="C40" s="1282"/>
      <c r="D40" s="1282"/>
      <c r="E40" s="1282"/>
      <c r="F40" s="1282"/>
      <c r="G40" s="1282"/>
      <c r="H40" s="1282"/>
      <c r="I40" s="1282"/>
    </row>
    <row r="41" spans="1:9" ht="21.75" customHeight="1">
      <c r="A41" s="1281" t="s">
        <v>176</v>
      </c>
      <c r="B41" s="1283" t="s">
        <v>177</v>
      </c>
      <c r="C41" s="1283"/>
      <c r="D41" s="1284" t="s">
        <v>178</v>
      </c>
      <c r="E41" s="1284"/>
      <c r="F41" s="1283" t="s">
        <v>179</v>
      </c>
      <c r="G41" s="1283"/>
      <c r="H41" s="1283"/>
      <c r="I41" s="1283"/>
    </row>
    <row r="42" spans="1:9" ht="18.75">
      <c r="A42" s="1281"/>
      <c r="B42" s="1283"/>
      <c r="C42" s="1283"/>
      <c r="D42" s="952" t="s">
        <v>180</v>
      </c>
      <c r="E42" s="952" t="s">
        <v>181</v>
      </c>
      <c r="F42" s="1283" t="s">
        <v>182</v>
      </c>
      <c r="G42" s="1283"/>
      <c r="H42" s="1283"/>
      <c r="I42" s="953" t="s">
        <v>183</v>
      </c>
    </row>
    <row r="43" spans="1:9" ht="21.75" customHeight="1">
      <c r="A43" s="954"/>
      <c r="B43" s="1277"/>
      <c r="C43" s="1277"/>
      <c r="D43" s="955"/>
      <c r="E43" s="955"/>
      <c r="F43" s="1277"/>
      <c r="G43" s="1277"/>
      <c r="H43" s="1277"/>
      <c r="I43" s="954"/>
    </row>
    <row r="44" spans="1:9" ht="21" customHeight="1">
      <c r="A44" s="956" t="s">
        <v>184</v>
      </c>
      <c r="B44" s="1354"/>
      <c r="C44" s="1354"/>
      <c r="D44" s="957" t="s">
        <v>185</v>
      </c>
      <c r="E44" s="958"/>
      <c r="F44" s="1278" t="s">
        <v>186</v>
      </c>
      <c r="G44" s="1278"/>
      <c r="H44" s="1278"/>
      <c r="I44" s="1278"/>
    </row>
    <row r="45" spans="1:9" ht="15.75">
      <c r="A45" s="1279" t="s">
        <v>187</v>
      </c>
      <c r="B45" s="1279"/>
      <c r="C45" s="1279"/>
      <c r="D45" s="1279" t="s">
        <v>188</v>
      </c>
      <c r="E45" s="1279"/>
      <c r="F45" s="1279"/>
      <c r="G45" s="1279"/>
      <c r="H45" s="1279"/>
      <c r="I45" s="1279"/>
    </row>
    <row r="46" spans="1:9" ht="15.75">
      <c r="A46" s="1279"/>
      <c r="B46" s="1279"/>
      <c r="C46" s="1279"/>
      <c r="D46" s="959">
        <v>1395</v>
      </c>
      <c r="E46" s="959" t="s">
        <v>189</v>
      </c>
      <c r="F46" s="960">
        <v>1397</v>
      </c>
      <c r="G46" s="961">
        <v>1398</v>
      </c>
      <c r="H46" s="961">
        <v>13999</v>
      </c>
      <c r="I46" s="961" t="s">
        <v>190</v>
      </c>
    </row>
    <row r="47" spans="1:9" ht="15.75">
      <c r="A47" s="1351" t="s">
        <v>191</v>
      </c>
      <c r="B47" s="1351"/>
      <c r="C47" s="1351"/>
      <c r="D47" s="962"/>
      <c r="E47" s="962"/>
      <c r="F47" s="963"/>
      <c r="G47" s="964"/>
      <c r="H47" s="965"/>
      <c r="I47" s="966"/>
    </row>
    <row r="48" spans="1:9" ht="15.75">
      <c r="A48" s="1351" t="s">
        <v>192</v>
      </c>
      <c r="B48" s="1351"/>
      <c r="C48" s="1351"/>
      <c r="D48" s="962"/>
      <c r="E48" s="967"/>
      <c r="F48" s="967"/>
      <c r="G48" s="967"/>
      <c r="H48" s="967"/>
      <c r="I48" s="966"/>
    </row>
    <row r="49" spans="1:13" ht="15.75">
      <c r="A49" s="1351" t="s">
        <v>193</v>
      </c>
      <c r="B49" s="1351"/>
      <c r="C49" s="1351"/>
      <c r="D49" s="962"/>
      <c r="E49" s="967"/>
      <c r="F49" s="967"/>
      <c r="G49" s="967"/>
      <c r="H49" s="967"/>
      <c r="I49" s="966"/>
    </row>
    <row r="50" spans="1:13" ht="15.75">
      <c r="A50" s="1352" t="s">
        <v>194</v>
      </c>
      <c r="B50" s="1352"/>
      <c r="C50" s="1352"/>
      <c r="D50" s="968"/>
      <c r="E50" s="968"/>
      <c r="F50" s="968"/>
      <c r="G50" s="968"/>
      <c r="H50" s="968"/>
      <c r="I50" s="968"/>
    </row>
    <row r="51" spans="1:13">
      <c r="A51" s="1353" t="s">
        <v>195</v>
      </c>
      <c r="B51" s="1353"/>
      <c r="C51" s="1353"/>
      <c r="D51" s="1285" t="s">
        <v>196</v>
      </c>
      <c r="E51" s="1285"/>
      <c r="F51" s="1285"/>
      <c r="G51" s="1285"/>
      <c r="H51" s="1285"/>
      <c r="I51" s="1285"/>
    </row>
    <row r="52" spans="1:13">
      <c r="A52" s="1353"/>
      <c r="B52" s="1353"/>
      <c r="C52" s="1353"/>
      <c r="D52" s="28">
        <v>1396</v>
      </c>
      <c r="E52" s="28">
        <v>1396</v>
      </c>
      <c r="F52" s="28">
        <v>1397</v>
      </c>
      <c r="G52" s="28">
        <v>1398</v>
      </c>
      <c r="H52" s="29">
        <v>1399</v>
      </c>
      <c r="I52" s="29" t="s">
        <v>190</v>
      </c>
    </row>
    <row r="53" spans="1:13">
      <c r="A53" s="1348" t="s">
        <v>191</v>
      </c>
      <c r="B53" s="1348"/>
      <c r="C53" s="1348"/>
      <c r="D53" s="30">
        <f>B95</f>
        <v>0</v>
      </c>
      <c r="E53" s="30"/>
      <c r="F53" s="30"/>
      <c r="G53" s="32"/>
      <c r="H53" s="33"/>
      <c r="I53" s="34"/>
    </row>
    <row r="54" spans="1:13">
      <c r="A54" s="1348" t="s">
        <v>192</v>
      </c>
      <c r="B54" s="1348"/>
      <c r="C54" s="1348"/>
      <c r="D54" s="30">
        <f>D95</f>
        <v>47528524</v>
      </c>
      <c r="E54" s="30"/>
      <c r="F54" s="30"/>
      <c r="G54" s="35"/>
      <c r="H54" s="35"/>
      <c r="I54" s="34"/>
    </row>
    <row r="55" spans="1:13">
      <c r="A55" s="1348" t="s">
        <v>193</v>
      </c>
      <c r="B55" s="1348"/>
      <c r="C55" s="1348"/>
      <c r="D55" s="30">
        <f>E95</f>
        <v>20811476</v>
      </c>
      <c r="E55" s="35"/>
      <c r="F55" s="35"/>
      <c r="G55" s="35"/>
      <c r="H55" s="35"/>
      <c r="I55" s="34"/>
    </row>
    <row r="56" spans="1:13" ht="17.25" customHeight="1">
      <c r="A56" s="1349" t="s">
        <v>194</v>
      </c>
      <c r="B56" s="1349"/>
      <c r="C56" s="1349"/>
      <c r="D56" s="37">
        <f>SUM(D53:D55)</f>
        <v>68340000</v>
      </c>
      <c r="E56" s="171"/>
      <c r="F56" s="37"/>
      <c r="G56" s="37"/>
      <c r="H56" s="37"/>
      <c r="I56" s="37"/>
    </row>
    <row r="57" spans="1:13">
      <c r="A57" s="38"/>
      <c r="B57" s="38"/>
      <c r="C57" s="38"/>
      <c r="D57" s="39"/>
      <c r="E57" s="39"/>
      <c r="F57" s="39"/>
      <c r="G57" s="39"/>
      <c r="H57" s="39"/>
      <c r="I57" s="39"/>
    </row>
    <row r="58" spans="1:13" ht="15.75">
      <c r="A58" s="324" t="s">
        <v>197</v>
      </c>
      <c r="B58" s="324"/>
      <c r="C58" s="324"/>
      <c r="D58" s="1350" t="s">
        <v>443</v>
      </c>
      <c r="E58" s="1350"/>
      <c r="F58" s="1350"/>
      <c r="G58" s="451"/>
      <c r="H58" s="1347"/>
      <c r="I58" s="1347"/>
    </row>
    <row r="59" spans="1:13" ht="31.5">
      <c r="A59" s="452" t="s">
        <v>199</v>
      </c>
      <c r="B59" s="1345" t="s">
        <v>191</v>
      </c>
      <c r="C59" s="1345"/>
      <c r="D59" s="453" t="s">
        <v>200</v>
      </c>
      <c r="E59" s="453" t="s">
        <v>201</v>
      </c>
      <c r="F59" s="453" t="s">
        <v>581</v>
      </c>
      <c r="G59" s="539" t="s">
        <v>444</v>
      </c>
      <c r="H59" s="1346"/>
      <c r="I59" s="1346"/>
    </row>
    <row r="60" spans="1:13" s="7" customFormat="1" ht="15.75">
      <c r="A60" s="475" t="s">
        <v>37</v>
      </c>
      <c r="B60" s="1341"/>
      <c r="C60" s="1341"/>
      <c r="D60" s="845">
        <f>1200000+817000+1911553+984420+2331110</f>
        <v>7244083</v>
      </c>
      <c r="E60" s="846"/>
      <c r="F60" s="848">
        <f>B60+D60+E60</f>
        <v>7244083</v>
      </c>
      <c r="G60" s="310"/>
      <c r="H60" s="1347"/>
      <c r="I60" s="1347"/>
      <c r="J60" s="538"/>
      <c r="K60" s="538"/>
      <c r="L60" s="538"/>
      <c r="M60" s="538"/>
    </row>
    <row r="61" spans="1:13" ht="15.75">
      <c r="A61" s="475" t="s">
        <v>204</v>
      </c>
      <c r="B61" s="1341"/>
      <c r="C61" s="1341"/>
      <c r="D61" s="846">
        <v>202872</v>
      </c>
      <c r="E61" s="541"/>
      <c r="F61" s="848">
        <f t="shared" ref="F61:F94" si="0">B61+D61+E61</f>
        <v>202872</v>
      </c>
      <c r="G61" s="310"/>
      <c r="H61" s="1341"/>
      <c r="I61" s="1341"/>
    </row>
    <row r="62" spans="1:13" ht="15.75">
      <c r="A62" s="475" t="s">
        <v>66</v>
      </c>
      <c r="B62" s="1341"/>
      <c r="C62" s="1341"/>
      <c r="D62" s="846">
        <v>225300</v>
      </c>
      <c r="E62" s="846"/>
      <c r="F62" s="848">
        <f t="shared" si="0"/>
        <v>225300</v>
      </c>
      <c r="G62" s="310"/>
      <c r="H62" s="1341"/>
      <c r="I62" s="1341"/>
    </row>
    <row r="63" spans="1:13" s="7" customFormat="1" ht="15.75">
      <c r="A63" s="475" t="s">
        <v>68</v>
      </c>
      <c r="B63" s="1344"/>
      <c r="C63" s="1344"/>
      <c r="D63" s="845">
        <f>533000+288569</f>
        <v>821569</v>
      </c>
      <c r="E63" s="845">
        <v>10865694</v>
      </c>
      <c r="F63" s="848">
        <f t="shared" si="0"/>
        <v>11687263</v>
      </c>
      <c r="G63" s="310"/>
      <c r="H63" s="1341"/>
      <c r="I63" s="1341"/>
      <c r="J63" s="538"/>
      <c r="K63" s="538"/>
      <c r="L63" s="538"/>
      <c r="M63" s="538"/>
    </row>
    <row r="64" spans="1:13" s="7" customFormat="1" ht="15.75">
      <c r="A64" s="475" t="s">
        <v>69</v>
      </c>
      <c r="B64" s="1341"/>
      <c r="C64" s="1341"/>
      <c r="D64" s="845">
        <v>1275000</v>
      </c>
      <c r="E64" s="845"/>
      <c r="F64" s="848">
        <f t="shared" si="0"/>
        <v>1275000</v>
      </c>
      <c r="G64" s="310"/>
      <c r="H64" s="1341"/>
      <c r="I64" s="1341"/>
      <c r="J64" s="538"/>
      <c r="K64" s="538"/>
      <c r="L64" s="538"/>
      <c r="M64" s="538"/>
    </row>
    <row r="65" spans="1:13" s="311" customFormat="1" ht="15.75">
      <c r="A65" s="475" t="s">
        <v>59</v>
      </c>
      <c r="B65" s="1341"/>
      <c r="C65" s="1341"/>
      <c r="D65" s="845">
        <f>345600+454569</f>
        <v>800169</v>
      </c>
      <c r="E65" s="845">
        <v>700000</v>
      </c>
      <c r="F65" s="848">
        <f t="shared" si="0"/>
        <v>1500169</v>
      </c>
      <c r="G65" s="310"/>
      <c r="H65" s="1341"/>
      <c r="I65" s="1341"/>
      <c r="J65" s="538"/>
      <c r="K65" s="538"/>
      <c r="L65" s="538"/>
      <c r="M65" s="538"/>
    </row>
    <row r="66" spans="1:13" ht="15.75">
      <c r="A66" s="475" t="s">
        <v>31</v>
      </c>
      <c r="B66" s="1340"/>
      <c r="C66" s="1340"/>
      <c r="D66" s="845">
        <f>298000+308500</f>
        <v>606500</v>
      </c>
      <c r="E66" s="845">
        <v>700000</v>
      </c>
      <c r="F66" s="848">
        <f t="shared" si="0"/>
        <v>1306500</v>
      </c>
      <c r="G66" s="310"/>
      <c r="H66" s="1341"/>
      <c r="I66" s="1341"/>
    </row>
    <row r="67" spans="1:13" ht="15.75">
      <c r="A67" s="475" t="s">
        <v>72</v>
      </c>
      <c r="B67" s="1341"/>
      <c r="C67" s="1341"/>
      <c r="D67" s="845">
        <f>154000+218500</f>
        <v>372500</v>
      </c>
      <c r="E67" s="845">
        <v>585102</v>
      </c>
      <c r="F67" s="848">
        <f t="shared" si="0"/>
        <v>957602</v>
      </c>
      <c r="G67" s="310"/>
      <c r="H67" s="1341"/>
      <c r="I67" s="1341"/>
    </row>
    <row r="68" spans="1:13" ht="15.75">
      <c r="A68" s="475" t="s">
        <v>73</v>
      </c>
      <c r="B68" s="1341"/>
      <c r="C68" s="1341"/>
      <c r="D68" s="845">
        <f>154000+134500</f>
        <v>288500</v>
      </c>
      <c r="E68" s="845">
        <v>500000</v>
      </c>
      <c r="F68" s="848">
        <f t="shared" si="0"/>
        <v>788500</v>
      </c>
      <c r="G68" s="310"/>
      <c r="H68" s="1341"/>
      <c r="I68" s="1341"/>
    </row>
    <row r="69" spans="1:13" ht="15.75">
      <c r="A69" s="475" t="s">
        <v>58</v>
      </c>
      <c r="B69" s="1340"/>
      <c r="C69" s="1340"/>
      <c r="D69" s="845">
        <f>688000+353267+915769</f>
        <v>1957036</v>
      </c>
      <c r="E69" s="847"/>
      <c r="F69" s="848">
        <f t="shared" si="0"/>
        <v>1957036</v>
      </c>
      <c r="G69" s="310"/>
      <c r="H69" s="1341"/>
      <c r="I69" s="1341"/>
    </row>
    <row r="70" spans="1:13" ht="15.75">
      <c r="A70" s="475" t="s">
        <v>53</v>
      </c>
      <c r="B70" s="1341"/>
      <c r="C70" s="1341"/>
      <c r="D70" s="845">
        <f>533667+2861802</f>
        <v>3395469</v>
      </c>
      <c r="E70" s="845"/>
      <c r="F70" s="848">
        <f t="shared" si="0"/>
        <v>3395469</v>
      </c>
      <c r="G70" s="310"/>
      <c r="H70" s="1341"/>
      <c r="I70" s="1341"/>
    </row>
    <row r="71" spans="1:13" ht="15.75">
      <c r="A71" s="475" t="s">
        <v>57</v>
      </c>
      <c r="B71" s="1341"/>
      <c r="C71" s="1341"/>
      <c r="D71" s="845">
        <f>359000+2356669</f>
        <v>2715669</v>
      </c>
      <c r="E71" s="845"/>
      <c r="F71" s="848">
        <f t="shared" si="0"/>
        <v>2715669</v>
      </c>
      <c r="G71" s="310"/>
      <c r="H71" s="1341"/>
      <c r="I71" s="1341"/>
    </row>
    <row r="72" spans="1:13" ht="15.75">
      <c r="A72" s="475" t="s">
        <v>63</v>
      </c>
      <c r="B72" s="1340"/>
      <c r="C72" s="1340"/>
      <c r="D72" s="845">
        <f>149000+2481669</f>
        <v>2630669</v>
      </c>
      <c r="E72" s="845">
        <v>1563000</v>
      </c>
      <c r="F72" s="848">
        <f t="shared" si="0"/>
        <v>4193669</v>
      </c>
      <c r="G72" s="310"/>
      <c r="H72" s="1341"/>
      <c r="I72" s="1341"/>
    </row>
    <row r="73" spans="1:13" s="311" customFormat="1" ht="15.75">
      <c r="A73" s="475" t="s">
        <v>41</v>
      </c>
      <c r="B73" s="1340"/>
      <c r="C73" s="1340"/>
      <c r="D73" s="175">
        <f>242100+755769+288000+720000</f>
        <v>2005869</v>
      </c>
      <c r="E73" s="845">
        <f>2500000+2147680</f>
        <v>4647680</v>
      </c>
      <c r="F73" s="848">
        <f t="shared" si="0"/>
        <v>6653549</v>
      </c>
      <c r="G73" s="310"/>
      <c r="H73" s="1341"/>
      <c r="I73" s="1341"/>
      <c r="J73" s="538"/>
      <c r="K73" s="538"/>
      <c r="L73" s="538"/>
      <c r="M73" s="538"/>
    </row>
    <row r="74" spans="1:13" ht="15.75">
      <c r="A74" s="475" t="s">
        <v>71</v>
      </c>
      <c r="B74" s="1341"/>
      <c r="C74" s="1341"/>
      <c r="D74" s="845">
        <v>323000</v>
      </c>
      <c r="E74" s="845"/>
      <c r="F74" s="848">
        <f t="shared" si="0"/>
        <v>323000</v>
      </c>
      <c r="G74" s="310"/>
      <c r="H74" s="1341"/>
      <c r="I74" s="1341"/>
    </row>
    <row r="75" spans="1:13" ht="15.75">
      <c r="A75" s="475" t="s">
        <v>67</v>
      </c>
      <c r="B75" s="1340"/>
      <c r="C75" s="1340"/>
      <c r="D75" s="845">
        <v>233000</v>
      </c>
      <c r="E75" s="845"/>
      <c r="F75" s="848">
        <f t="shared" si="0"/>
        <v>233000</v>
      </c>
      <c r="G75" s="310"/>
      <c r="H75" s="1341"/>
      <c r="I75" s="1341"/>
    </row>
    <row r="76" spans="1:13" ht="15.75">
      <c r="A76" s="475" t="s">
        <v>74</v>
      </c>
      <c r="B76" s="1341"/>
      <c r="C76" s="1341"/>
      <c r="D76" s="845">
        <v>1758000</v>
      </c>
      <c r="E76" s="845"/>
      <c r="F76" s="848">
        <f t="shared" si="0"/>
        <v>1758000</v>
      </c>
      <c r="G76" s="310"/>
      <c r="H76" s="1341"/>
      <c r="I76" s="1341"/>
    </row>
    <row r="77" spans="1:13" ht="15.75">
      <c r="A77" s="475" t="s">
        <v>75</v>
      </c>
      <c r="B77" s="1341"/>
      <c r="C77" s="1341"/>
      <c r="D77" s="845">
        <v>214500</v>
      </c>
      <c r="E77" s="845"/>
      <c r="F77" s="848">
        <f t="shared" si="0"/>
        <v>214500</v>
      </c>
      <c r="G77" s="310"/>
      <c r="H77" s="1341"/>
      <c r="I77" s="1341"/>
    </row>
    <row r="78" spans="1:13" ht="15.75">
      <c r="A78" s="475" t="s">
        <v>32</v>
      </c>
      <c r="B78" s="1340"/>
      <c r="C78" s="1340"/>
      <c r="D78" s="845">
        <f>4896000+349000</f>
        <v>5245000</v>
      </c>
      <c r="E78" s="845"/>
      <c r="F78" s="848">
        <f>B78+D78+E78</f>
        <v>5245000</v>
      </c>
      <c r="G78" s="310"/>
      <c r="H78" s="1341"/>
      <c r="I78" s="1341"/>
    </row>
    <row r="79" spans="1:13" ht="13.5" customHeight="1">
      <c r="A79" s="475" t="s">
        <v>35</v>
      </c>
      <c r="B79" s="1340"/>
      <c r="C79" s="1340"/>
      <c r="D79" s="845"/>
      <c r="E79" s="845"/>
      <c r="F79" s="848">
        <f t="shared" si="0"/>
        <v>0</v>
      </c>
      <c r="G79" s="310">
        <f t="shared" ref="G79:G80" si="1">F79/68.34</f>
        <v>0</v>
      </c>
      <c r="H79" s="1341"/>
      <c r="I79" s="1341"/>
    </row>
    <row r="80" spans="1:13" ht="10.5" customHeight="1">
      <c r="A80" s="475" t="s">
        <v>205</v>
      </c>
      <c r="B80" s="1340"/>
      <c r="C80" s="1340"/>
      <c r="D80" s="845"/>
      <c r="E80" s="845"/>
      <c r="F80" s="848">
        <f t="shared" si="0"/>
        <v>0</v>
      </c>
      <c r="G80" s="310">
        <f t="shared" si="1"/>
        <v>0</v>
      </c>
      <c r="H80" s="1341"/>
      <c r="I80" s="1341"/>
    </row>
    <row r="81" spans="1:14" ht="15.75">
      <c r="A81" s="475" t="s">
        <v>78</v>
      </c>
      <c r="B81" s="1340"/>
      <c r="C81" s="1340"/>
      <c r="D81" s="845">
        <v>386600</v>
      </c>
      <c r="E81" s="845"/>
      <c r="F81" s="848">
        <f t="shared" si="0"/>
        <v>386600</v>
      </c>
      <c r="G81" s="310"/>
      <c r="H81" s="1341"/>
      <c r="I81" s="1341"/>
    </row>
    <row r="82" spans="1:14" ht="15.75">
      <c r="A82" s="475" t="s">
        <v>206</v>
      </c>
      <c r="B82" s="1340"/>
      <c r="C82" s="1340"/>
      <c r="D82" s="845">
        <v>165000</v>
      </c>
      <c r="E82" s="845"/>
      <c r="F82" s="848">
        <f t="shared" si="0"/>
        <v>165000</v>
      </c>
      <c r="G82" s="310"/>
      <c r="H82" s="1341"/>
      <c r="I82" s="1341"/>
    </row>
    <row r="83" spans="1:14" ht="18.75" customHeight="1">
      <c r="A83" s="475" t="s">
        <v>79</v>
      </c>
      <c r="B83" s="1340"/>
      <c r="C83" s="1340"/>
      <c r="D83" s="845"/>
      <c r="E83" s="845"/>
      <c r="F83" s="848">
        <f>B83+D83+E83</f>
        <v>0</v>
      </c>
      <c r="G83" s="310"/>
      <c r="H83" s="1341"/>
      <c r="I83" s="1341"/>
    </row>
    <row r="84" spans="1:14" ht="20.25" customHeight="1">
      <c r="A84" s="475" t="s">
        <v>80</v>
      </c>
      <c r="B84" s="1340"/>
      <c r="C84" s="1340"/>
      <c r="D84" s="845"/>
      <c r="E84" s="845"/>
      <c r="F84" s="848">
        <f>B84+D84+E84</f>
        <v>0</v>
      </c>
      <c r="G84" s="310"/>
      <c r="H84" s="1341"/>
      <c r="I84" s="1341"/>
    </row>
    <row r="85" spans="1:14" ht="15.75">
      <c r="A85" s="475" t="s">
        <v>47</v>
      </c>
      <c r="B85" s="1340"/>
      <c r="C85" s="1340"/>
      <c r="D85" s="845">
        <f>472000+389000+612169+1188000</f>
        <v>2661169</v>
      </c>
      <c r="E85" s="845"/>
      <c r="F85" s="848">
        <f t="shared" si="0"/>
        <v>2661169</v>
      </c>
      <c r="G85" s="310"/>
      <c r="H85" s="1341"/>
      <c r="I85" s="1341"/>
    </row>
    <row r="86" spans="1:14" ht="15.75">
      <c r="A86" s="475" t="s">
        <v>77</v>
      </c>
      <c r="B86" s="1340"/>
      <c r="C86" s="1340"/>
      <c r="D86" s="845">
        <f>632000+473000+915769</f>
        <v>2020769</v>
      </c>
      <c r="E86" s="845"/>
      <c r="F86" s="848">
        <f t="shared" si="0"/>
        <v>2020769</v>
      </c>
      <c r="G86" s="310"/>
      <c r="H86" s="1341"/>
      <c r="I86" s="1341"/>
    </row>
    <row r="87" spans="1:14" ht="15.75">
      <c r="A87" s="475" t="s">
        <v>56</v>
      </c>
      <c r="B87" s="1340"/>
      <c r="C87" s="1340"/>
      <c r="D87" s="845">
        <f>423000+602169</f>
        <v>1025169</v>
      </c>
      <c r="E87" s="845"/>
      <c r="F87" s="848">
        <f t="shared" si="0"/>
        <v>1025169</v>
      </c>
      <c r="G87" s="310"/>
      <c r="H87" s="1341"/>
      <c r="I87" s="1341"/>
    </row>
    <row r="88" spans="1:14" ht="15.75">
      <c r="A88" s="475" t="s">
        <v>64</v>
      </c>
      <c r="B88" s="1340"/>
      <c r="C88" s="1340"/>
      <c r="D88" s="845"/>
      <c r="E88" s="845"/>
      <c r="F88" s="848">
        <f t="shared" si="0"/>
        <v>0</v>
      </c>
      <c r="G88" s="310"/>
      <c r="H88" s="1341"/>
      <c r="I88" s="1341"/>
    </row>
    <row r="89" spans="1:14" ht="15.75">
      <c r="A89" s="475" t="s">
        <v>76</v>
      </c>
      <c r="B89" s="1340"/>
      <c r="C89" s="1340"/>
      <c r="D89" s="845">
        <f>1120000+417000+438569</f>
        <v>1975569</v>
      </c>
      <c r="E89" s="845"/>
      <c r="F89" s="848">
        <f t="shared" si="0"/>
        <v>1975569</v>
      </c>
      <c r="G89" s="310"/>
      <c r="H89" s="1341"/>
      <c r="I89" s="1341"/>
    </row>
    <row r="90" spans="1:14" ht="15.75">
      <c r="A90" s="475" t="s">
        <v>65</v>
      </c>
      <c r="B90" s="1340"/>
      <c r="C90" s="1340"/>
      <c r="D90" s="845">
        <f>904000+433500+1990069</f>
        <v>3327569</v>
      </c>
      <c r="E90" s="845"/>
      <c r="F90" s="848">
        <f t="shared" si="0"/>
        <v>3327569</v>
      </c>
      <c r="G90" s="310"/>
      <c r="H90" s="1341"/>
      <c r="I90" s="1341"/>
    </row>
    <row r="91" spans="1:14" ht="15.75">
      <c r="A91" s="475" t="s">
        <v>62</v>
      </c>
      <c r="B91" s="1340"/>
      <c r="C91" s="1340"/>
      <c r="D91" s="845">
        <v>395667</v>
      </c>
      <c r="E91" s="848"/>
      <c r="F91" s="848">
        <f t="shared" si="0"/>
        <v>395667</v>
      </c>
      <c r="G91" s="310"/>
      <c r="H91" s="1341"/>
      <c r="I91" s="1341"/>
    </row>
    <row r="92" spans="1:14" ht="15.75">
      <c r="A92" s="475" t="s">
        <v>60</v>
      </c>
      <c r="B92" s="1340"/>
      <c r="C92" s="1340"/>
      <c r="D92" s="845">
        <f>329500+346569</f>
        <v>676069</v>
      </c>
      <c r="E92" s="845"/>
      <c r="F92" s="848">
        <f t="shared" si="0"/>
        <v>676069</v>
      </c>
      <c r="G92" s="310"/>
      <c r="H92" s="1341"/>
      <c r="I92" s="1341"/>
    </row>
    <row r="93" spans="1:14" ht="15.75">
      <c r="A93" s="475" t="s">
        <v>70</v>
      </c>
      <c r="B93" s="1340"/>
      <c r="C93" s="1340"/>
      <c r="D93" s="845">
        <f>472000+206100+438569</f>
        <v>1116669</v>
      </c>
      <c r="E93" s="845">
        <v>1250000</v>
      </c>
      <c r="F93" s="848">
        <f t="shared" si="0"/>
        <v>2366669</v>
      </c>
      <c r="G93" s="310"/>
      <c r="H93" s="1341"/>
      <c r="I93" s="1341"/>
      <c r="N93" s="106"/>
    </row>
    <row r="94" spans="1:14" ht="15.75">
      <c r="A94" s="475" t="s">
        <v>34</v>
      </c>
      <c r="B94" s="1340"/>
      <c r="C94" s="1340"/>
      <c r="D94" s="845">
        <f>688000+337000+438569</f>
        <v>1463569</v>
      </c>
      <c r="E94" s="845"/>
      <c r="F94" s="848">
        <f t="shared" si="0"/>
        <v>1463569</v>
      </c>
      <c r="G94" s="310"/>
      <c r="H94" s="1341"/>
      <c r="I94" s="1341"/>
    </row>
    <row r="95" spans="1:14" ht="15.75">
      <c r="A95" s="475" t="s">
        <v>207</v>
      </c>
      <c r="B95" s="1340"/>
      <c r="C95" s="1340"/>
      <c r="D95" s="309">
        <f>SUM(D60:D94)</f>
        <v>47528524</v>
      </c>
      <c r="E95" s="312">
        <f>SUM(E60:E94)</f>
        <v>20811476</v>
      </c>
      <c r="F95" s="309">
        <f>SUM(F60:F94)</f>
        <v>68340000</v>
      </c>
      <c r="G95" s="310"/>
      <c r="H95" s="1341"/>
      <c r="I95" s="1341"/>
    </row>
    <row r="96" spans="1:14" ht="29.25" customHeight="1">
      <c r="A96" s="1342" t="s">
        <v>208</v>
      </c>
      <c r="B96" s="1342"/>
      <c r="C96" s="1342"/>
      <c r="D96" s="1342"/>
      <c r="E96" s="1342"/>
      <c r="F96" s="1342"/>
      <c r="G96" s="1342"/>
      <c r="H96" s="1342"/>
      <c r="I96" s="1342"/>
    </row>
    <row r="97" spans="1:13" ht="29.25" customHeight="1">
      <c r="A97" s="1313" t="s">
        <v>209</v>
      </c>
      <c r="B97" s="1313"/>
      <c r="C97" s="1313"/>
      <c r="D97" s="1313"/>
      <c r="E97" s="1313"/>
      <c r="F97" s="1313"/>
      <c r="G97" s="1313"/>
      <c r="H97" s="1313"/>
      <c r="I97" s="1313"/>
    </row>
    <row r="98" spans="1:13" ht="24.75" customHeight="1">
      <c r="A98" s="1343" t="s">
        <v>210</v>
      </c>
      <c r="B98" s="1343"/>
      <c r="C98" s="1343"/>
      <c r="D98" s="1343"/>
      <c r="E98" s="1343"/>
      <c r="F98" s="1343"/>
      <c r="G98" s="1343"/>
      <c r="H98" s="1343"/>
      <c r="I98" s="1343"/>
    </row>
    <row r="99" spans="1:13" ht="27.75" customHeight="1">
      <c r="A99" s="1311" t="s">
        <v>211</v>
      </c>
      <c r="B99" s="1311"/>
      <c r="C99" s="1311"/>
      <c r="D99" s="1311"/>
      <c r="E99" s="1328" t="s">
        <v>212</v>
      </c>
      <c r="F99" s="1328"/>
      <c r="G99" s="1328"/>
      <c r="H99" s="1328"/>
      <c r="I99" s="313" t="s">
        <v>213</v>
      </c>
    </row>
    <row r="100" spans="1:13" s="2" customFormat="1" ht="24.75" customHeight="1">
      <c r="A100" s="1337" t="s">
        <v>582</v>
      </c>
      <c r="B100" s="1337"/>
      <c r="C100" s="1337"/>
      <c r="D100" s="1337"/>
      <c r="E100" s="1337"/>
      <c r="F100" s="1337"/>
      <c r="G100" s="1337"/>
      <c r="H100" s="1337"/>
      <c r="I100" s="1337"/>
    </row>
    <row r="101" spans="1:13" s="2" customFormat="1" ht="30.75" customHeight="1">
      <c r="A101" s="1336" t="s">
        <v>1181</v>
      </c>
      <c r="B101" s="1336"/>
      <c r="C101" s="1336"/>
      <c r="D101" s="1336"/>
      <c r="E101" s="1336"/>
      <c r="F101" s="1337"/>
      <c r="G101" s="1337"/>
      <c r="H101" s="1337"/>
      <c r="I101" s="969"/>
    </row>
    <row r="102" spans="1:13" s="970" customFormat="1" ht="33" customHeight="1">
      <c r="A102" s="1317" t="s">
        <v>1182</v>
      </c>
      <c r="B102" s="1317"/>
      <c r="C102" s="1317"/>
      <c r="D102" s="1317"/>
      <c r="E102" s="1317"/>
      <c r="F102" s="1337"/>
      <c r="G102" s="1337"/>
      <c r="H102" s="1337"/>
      <c r="I102" s="969"/>
      <c r="J102" s="2"/>
      <c r="K102" s="2"/>
      <c r="L102" s="2"/>
      <c r="M102" s="2"/>
    </row>
    <row r="103" spans="1:13" s="2" customFormat="1" ht="23.25" customHeight="1">
      <c r="A103" s="1330" t="s">
        <v>690</v>
      </c>
      <c r="B103" s="1330"/>
      <c r="C103" s="1330"/>
      <c r="D103" s="1330"/>
      <c r="E103" s="1330"/>
      <c r="F103" s="1337"/>
      <c r="G103" s="1337"/>
      <c r="H103" s="1337"/>
      <c r="I103" s="969"/>
    </row>
    <row r="104" spans="1:13" s="2" customFormat="1" ht="26.25" customHeight="1">
      <c r="A104" s="1338" t="s">
        <v>691</v>
      </c>
      <c r="B104" s="1338"/>
      <c r="C104" s="1338"/>
      <c r="D104" s="1338"/>
      <c r="E104" s="1338"/>
      <c r="F104" s="1337"/>
      <c r="G104" s="1337"/>
      <c r="H104" s="1337"/>
      <c r="I104" s="969"/>
    </row>
    <row r="105" spans="1:13" s="2" customFormat="1" ht="19.5" customHeight="1">
      <c r="A105" s="1339" t="s">
        <v>688</v>
      </c>
      <c r="B105" s="1339"/>
      <c r="C105" s="1339"/>
      <c r="D105" s="1339"/>
      <c r="E105" s="1339"/>
      <c r="F105" s="1337"/>
      <c r="G105" s="1337"/>
      <c r="H105" s="1337"/>
      <c r="I105" s="969"/>
    </row>
    <row r="106" spans="1:13" s="2" customFormat="1" ht="26.25" customHeight="1">
      <c r="A106" s="1337" t="s">
        <v>583</v>
      </c>
      <c r="B106" s="1337"/>
      <c r="C106" s="1337"/>
      <c r="D106" s="1337"/>
      <c r="E106" s="1337"/>
      <c r="F106" s="1337"/>
      <c r="G106" s="1337"/>
      <c r="H106" s="1337"/>
      <c r="I106" s="1337"/>
    </row>
    <row r="107" spans="1:13" s="2" customFormat="1" ht="25.5" customHeight="1">
      <c r="A107" s="1336" t="s">
        <v>1183</v>
      </c>
      <c r="B107" s="1336"/>
      <c r="C107" s="1336"/>
      <c r="D107" s="1336"/>
      <c r="E107" s="1336"/>
      <c r="F107" s="1337"/>
      <c r="G107" s="1337"/>
      <c r="H107" s="1337"/>
      <c r="I107" s="969"/>
    </row>
    <row r="108" spans="1:13" s="2" customFormat="1" ht="20.25" customHeight="1">
      <c r="A108" s="1336" t="s">
        <v>685</v>
      </c>
      <c r="B108" s="1336"/>
      <c r="C108" s="1336"/>
      <c r="D108" s="1336"/>
      <c r="E108" s="1336"/>
      <c r="F108" s="1337"/>
      <c r="G108" s="1337"/>
      <c r="H108" s="1337"/>
      <c r="I108" s="969"/>
    </row>
    <row r="109" spans="1:13" s="2" customFormat="1" ht="21.75" customHeight="1">
      <c r="A109" s="1336" t="s">
        <v>1189</v>
      </c>
      <c r="B109" s="1336"/>
      <c r="C109" s="1336"/>
      <c r="D109" s="1336"/>
      <c r="E109" s="1336"/>
      <c r="F109" s="1337"/>
      <c r="G109" s="1337"/>
      <c r="H109" s="1337"/>
      <c r="I109" s="969"/>
    </row>
    <row r="110" spans="1:13" s="2" customFormat="1" ht="21.75" customHeight="1">
      <c r="A110" s="1336" t="s">
        <v>1190</v>
      </c>
      <c r="B110" s="1336"/>
      <c r="C110" s="1336"/>
      <c r="D110" s="1336"/>
      <c r="E110" s="1336"/>
      <c r="F110" s="1337"/>
      <c r="G110" s="1337"/>
      <c r="H110" s="1337"/>
      <c r="I110" s="969"/>
    </row>
    <row r="111" spans="1:13" s="2" customFormat="1" ht="21.75" customHeight="1">
      <c r="A111" s="1327" t="s">
        <v>1192</v>
      </c>
      <c r="B111" s="1327"/>
      <c r="C111" s="1327"/>
      <c r="D111" s="1327"/>
      <c r="E111" s="1327"/>
      <c r="F111" s="1331"/>
      <c r="G111" s="1331"/>
      <c r="H111" s="1331"/>
      <c r="I111" s="540"/>
    </row>
    <row r="112" spans="1:13" ht="30.75" customHeight="1">
      <c r="A112" s="1332" t="s">
        <v>584</v>
      </c>
      <c r="B112" s="1333"/>
      <c r="C112" s="1333"/>
      <c r="D112" s="1333"/>
      <c r="E112" s="1333"/>
      <c r="F112" s="1333"/>
      <c r="G112" s="1333"/>
      <c r="H112" s="1333"/>
      <c r="I112" s="1334"/>
    </row>
    <row r="113" spans="1:9" ht="27" customHeight="1">
      <c r="A113" s="1327" t="s">
        <v>1191</v>
      </c>
      <c r="B113" s="1327"/>
      <c r="C113" s="1327"/>
      <c r="D113" s="1327"/>
      <c r="E113" s="1327"/>
      <c r="F113" s="1328"/>
      <c r="G113" s="1328"/>
      <c r="H113" s="1328"/>
      <c r="I113" s="313"/>
    </row>
    <row r="114" spans="1:9" ht="24.75" customHeight="1">
      <c r="A114" s="1335" t="s">
        <v>693</v>
      </c>
      <c r="B114" s="1335"/>
      <c r="C114" s="1335"/>
      <c r="D114" s="1335"/>
      <c r="E114" s="1335"/>
      <c r="F114" s="1328"/>
      <c r="G114" s="1328"/>
      <c r="H114" s="1328"/>
      <c r="I114" s="313"/>
    </row>
    <row r="115" spans="1:9" ht="20.25" customHeight="1">
      <c r="A115" s="1327" t="s">
        <v>1184</v>
      </c>
      <c r="B115" s="1327"/>
      <c r="C115" s="1327"/>
      <c r="D115" s="1327"/>
      <c r="E115" s="1327"/>
      <c r="F115" s="1328"/>
      <c r="G115" s="1328"/>
      <c r="H115" s="1328"/>
      <c r="I115" s="313"/>
    </row>
    <row r="116" spans="1:9" ht="21" customHeight="1">
      <c r="A116" s="1329" t="s">
        <v>585</v>
      </c>
      <c r="B116" s="1329"/>
      <c r="C116" s="1329"/>
      <c r="D116" s="1329"/>
      <c r="E116" s="1329"/>
      <c r="F116" s="1329"/>
      <c r="G116" s="1329"/>
      <c r="H116" s="1329"/>
      <c r="I116" s="1329"/>
    </row>
    <row r="117" spans="1:9" ht="40.5" customHeight="1">
      <c r="A117" s="1317" t="s">
        <v>692</v>
      </c>
      <c r="B117" s="1318"/>
      <c r="C117" s="1318"/>
      <c r="D117" s="1318"/>
      <c r="E117" s="1318"/>
      <c r="F117" s="1319"/>
      <c r="G117" s="1319"/>
      <c r="H117" s="1319"/>
      <c r="I117" s="454"/>
    </row>
    <row r="118" spans="1:9" ht="20.25" customHeight="1">
      <c r="A118" s="1330" t="s">
        <v>686</v>
      </c>
      <c r="B118" s="1318"/>
      <c r="C118" s="1318"/>
      <c r="D118" s="1318"/>
      <c r="E118" s="1318"/>
      <c r="F118" s="1319"/>
      <c r="G118" s="1319"/>
      <c r="H118" s="1319"/>
      <c r="I118" s="454"/>
    </row>
    <row r="119" spans="1:9" ht="28.5" customHeight="1">
      <c r="A119" s="1317" t="s">
        <v>1185</v>
      </c>
      <c r="B119" s="1318"/>
      <c r="C119" s="1318"/>
      <c r="D119" s="1318"/>
      <c r="E119" s="1318"/>
      <c r="F119" s="1319"/>
      <c r="G119" s="1319"/>
      <c r="H119" s="1319"/>
      <c r="I119" s="454"/>
    </row>
    <row r="120" spans="1:9" ht="44.25" customHeight="1">
      <c r="A120" s="1320" t="s">
        <v>889</v>
      </c>
      <c r="B120" s="1321"/>
      <c r="C120" s="1321"/>
      <c r="D120" s="1321"/>
      <c r="E120" s="1322"/>
      <c r="F120" s="1323"/>
      <c r="G120" s="1324"/>
      <c r="H120" s="1325"/>
      <c r="I120" s="454"/>
    </row>
    <row r="121" spans="1:9" ht="21.75" customHeight="1">
      <c r="A121" s="1313" t="s">
        <v>214</v>
      </c>
      <c r="B121" s="1313"/>
      <c r="C121" s="1313"/>
      <c r="D121" s="1313"/>
      <c r="E121" s="1313"/>
      <c r="F121" s="1313"/>
      <c r="G121" s="1313"/>
      <c r="H121" s="1313"/>
      <c r="I121" s="1313"/>
    </row>
    <row r="122" spans="1:9" ht="35.25" customHeight="1">
      <c r="A122" s="1315" t="s">
        <v>215</v>
      </c>
      <c r="B122" s="1315"/>
      <c r="C122" s="1315"/>
      <c r="D122" s="1315"/>
      <c r="E122" s="1315"/>
      <c r="F122" s="1326" t="s">
        <v>216</v>
      </c>
      <c r="G122" s="1326"/>
      <c r="H122" s="1326"/>
      <c r="I122" s="1326"/>
    </row>
    <row r="123" spans="1:9" ht="33" customHeight="1">
      <c r="A123" s="1315" t="s">
        <v>217</v>
      </c>
      <c r="B123" s="1315"/>
      <c r="C123" s="1315"/>
      <c r="D123" s="1315"/>
      <c r="E123" s="1315"/>
      <c r="F123" s="1313" t="s">
        <v>216</v>
      </c>
      <c r="G123" s="1313"/>
      <c r="H123" s="1313"/>
      <c r="I123" s="1313"/>
    </row>
    <row r="124" spans="1:9" ht="24" customHeight="1">
      <c r="A124" s="1316" t="s">
        <v>218</v>
      </c>
      <c r="B124" s="1316"/>
      <c r="C124" s="1316"/>
      <c r="D124" s="1316"/>
      <c r="E124" s="1316"/>
      <c r="F124" s="1313" t="s">
        <v>216</v>
      </c>
      <c r="G124" s="1313"/>
      <c r="H124" s="1313"/>
      <c r="I124" s="1313"/>
    </row>
    <row r="125" spans="1:9" ht="30.75" customHeight="1">
      <c r="A125" s="1312" t="s">
        <v>219</v>
      </c>
      <c r="B125" s="1312"/>
      <c r="C125" s="1312"/>
      <c r="D125" s="1312"/>
      <c r="E125" s="1312"/>
      <c r="F125" s="1314" t="s">
        <v>220</v>
      </c>
      <c r="G125" s="1314"/>
      <c r="H125" s="1314"/>
      <c r="I125" s="1314"/>
    </row>
    <row r="126" spans="1:9" ht="36" customHeight="1">
      <c r="A126" s="1308" t="s">
        <v>221</v>
      </c>
      <c r="B126" s="1309"/>
      <c r="C126" s="1309"/>
      <c r="D126" s="1309"/>
      <c r="E126" s="1310"/>
      <c r="F126" s="1311"/>
      <c r="G126" s="1311"/>
      <c r="H126" s="1311"/>
      <c r="I126" s="1311"/>
    </row>
    <row r="127" spans="1:9" ht="29.25" customHeight="1">
      <c r="A127" s="1312" t="s">
        <v>222</v>
      </c>
      <c r="B127" s="1312"/>
      <c r="C127" s="1312"/>
      <c r="D127" s="1312"/>
      <c r="E127" s="1312"/>
      <c r="F127" s="1311"/>
      <c r="G127" s="1311"/>
      <c r="H127" s="1311"/>
      <c r="I127" s="1311"/>
    </row>
    <row r="128" spans="1:9" ht="27.75" customHeight="1">
      <c r="A128" s="1313" t="s">
        <v>223</v>
      </c>
      <c r="B128" s="1313"/>
      <c r="C128" s="1313"/>
      <c r="D128" s="1313"/>
      <c r="E128" s="1313"/>
      <c r="F128" s="1313"/>
      <c r="G128" s="1313"/>
      <c r="H128" s="1313"/>
      <c r="I128" s="1313"/>
    </row>
    <row r="129" spans="1:13">
      <c r="A129" s="1314" t="s">
        <v>224</v>
      </c>
      <c r="B129" s="1314"/>
      <c r="C129" s="1314"/>
      <c r="D129" s="1314"/>
      <c r="E129" s="1314"/>
      <c r="F129" s="1314"/>
      <c r="G129" s="1314"/>
      <c r="H129" s="1314"/>
      <c r="I129" s="1314"/>
    </row>
    <row r="130" spans="1:13" ht="18" customHeight="1">
      <c r="A130" s="1314"/>
      <c r="B130" s="1314"/>
      <c r="C130" s="1314"/>
      <c r="D130" s="1314"/>
      <c r="E130" s="1314"/>
      <c r="F130" s="1314"/>
      <c r="G130" s="1314"/>
      <c r="H130" s="1314"/>
      <c r="I130" s="1314"/>
    </row>
    <row r="131" spans="1:13" hidden="1">
      <c r="A131" s="1314"/>
      <c r="B131" s="1314"/>
      <c r="C131" s="1314"/>
      <c r="D131" s="1314"/>
      <c r="E131" s="1314"/>
      <c r="F131" s="1314"/>
      <c r="G131" s="1314"/>
      <c r="H131" s="1314"/>
      <c r="I131" s="1314"/>
    </row>
    <row r="132" spans="1:13" hidden="1">
      <c r="A132" s="1286"/>
      <c r="B132" s="1286"/>
      <c r="C132" s="1286"/>
      <c r="D132" s="1286"/>
      <c r="E132" s="1286"/>
      <c r="F132" s="1286"/>
      <c r="G132" s="1286"/>
      <c r="H132" s="1286"/>
      <c r="I132" s="1286"/>
    </row>
    <row r="133" spans="1:13" ht="8.25" customHeight="1">
      <c r="A133" s="1286"/>
      <c r="B133" s="1286"/>
      <c r="C133" s="1286"/>
      <c r="D133" s="1286"/>
      <c r="E133" s="1286"/>
      <c r="F133" s="1286"/>
      <c r="G133" s="1286"/>
      <c r="H133" s="1286"/>
      <c r="I133" s="1286"/>
    </row>
    <row r="134" spans="1:13" ht="20.25" customHeight="1">
      <c r="A134" s="1287" t="s">
        <v>225</v>
      </c>
      <c r="B134" s="1287"/>
      <c r="C134" s="1287"/>
      <c r="D134" s="1287"/>
      <c r="E134" s="1287"/>
      <c r="F134" s="1287"/>
      <c r="G134" s="1287"/>
      <c r="H134" s="1287"/>
      <c r="I134" s="1287"/>
    </row>
    <row r="135" spans="1:13" ht="28.5" customHeight="1">
      <c r="A135" s="1288" t="s">
        <v>226</v>
      </c>
      <c r="B135" s="1288"/>
      <c r="C135" s="438" t="s">
        <v>227</v>
      </c>
      <c r="D135" s="536" t="s">
        <v>672</v>
      </c>
      <c r="E135" s="1289" t="s">
        <v>229</v>
      </c>
      <c r="F135" s="1289"/>
      <c r="G135" s="535"/>
      <c r="H135" s="535" t="s">
        <v>156</v>
      </c>
      <c r="I135" s="535" t="s">
        <v>181</v>
      </c>
    </row>
    <row r="136" spans="1:13" ht="39" customHeight="1">
      <c r="A136" s="1305" t="s">
        <v>230</v>
      </c>
      <c r="B136" s="1305"/>
      <c r="C136" s="437" t="s">
        <v>4</v>
      </c>
      <c r="D136" s="51" t="s">
        <v>231</v>
      </c>
      <c r="E136" s="1306" t="s">
        <v>160</v>
      </c>
      <c r="F136" s="1307"/>
      <c r="G136" s="537"/>
      <c r="H136" s="50">
        <v>700007218</v>
      </c>
      <c r="I136" s="52"/>
    </row>
    <row r="137" spans="1:13" ht="17.25" customHeight="1">
      <c r="A137" s="1294"/>
      <c r="B137" s="1294"/>
      <c r="C137" s="1294"/>
      <c r="D137" s="1294"/>
      <c r="E137" s="1294"/>
      <c r="F137" s="1294"/>
      <c r="G137" s="1294"/>
      <c r="H137" s="1294"/>
      <c r="I137" s="1294"/>
    </row>
    <row r="138" spans="1:13" ht="29.25" customHeight="1">
      <c r="A138" s="1295" t="s">
        <v>673</v>
      </c>
      <c r="B138" s="1295"/>
      <c r="C138" s="1295"/>
      <c r="D138" s="1295"/>
      <c r="E138" s="1295"/>
      <c r="F138" s="1295"/>
      <c r="G138" s="1295"/>
      <c r="H138" s="1295"/>
      <c r="I138" s="1295"/>
    </row>
    <row r="139" spans="1:13" ht="28.5" customHeight="1">
      <c r="A139" s="1296" t="s">
        <v>226</v>
      </c>
      <c r="B139" s="1296"/>
      <c r="C139" s="1296" t="s">
        <v>232</v>
      </c>
      <c r="D139" s="1296"/>
      <c r="E139" s="439" t="s">
        <v>233</v>
      </c>
      <c r="F139" s="440"/>
      <c r="G139" s="441"/>
      <c r="H139" s="441"/>
      <c r="I139" s="441"/>
    </row>
    <row r="140" spans="1:13" s="65" customFormat="1" ht="24" customHeight="1">
      <c r="A140" s="544" t="s">
        <v>676</v>
      </c>
      <c r="B140" s="544"/>
      <c r="C140" s="1290" t="s">
        <v>236</v>
      </c>
      <c r="D140" s="1290"/>
      <c r="E140" s="442"/>
      <c r="F140" s="443"/>
      <c r="G140" s="444"/>
      <c r="H140" s="444"/>
      <c r="I140" s="444"/>
      <c r="J140" s="538"/>
      <c r="K140" s="538"/>
      <c r="L140" s="538"/>
      <c r="M140" s="538"/>
    </row>
    <row r="141" spans="1:13" s="65" customFormat="1" ht="33.75" customHeight="1">
      <c r="A141" s="544" t="s">
        <v>677</v>
      </c>
      <c r="B141" s="544"/>
      <c r="C141" s="1304" t="s">
        <v>678</v>
      </c>
      <c r="D141" s="1304"/>
      <c r="E141" s="442"/>
      <c r="F141" s="443"/>
      <c r="G141" s="444"/>
      <c r="H141" s="444"/>
      <c r="I141" s="444"/>
      <c r="J141" s="538"/>
      <c r="K141" s="538"/>
      <c r="L141" s="538"/>
      <c r="M141" s="538"/>
    </row>
    <row r="142" spans="1:13" s="65" customFormat="1" ht="30.75" customHeight="1">
      <c r="A142" s="544" t="s">
        <v>674</v>
      </c>
      <c r="B142" s="544"/>
      <c r="C142" s="1290" t="s">
        <v>675</v>
      </c>
      <c r="D142" s="1290"/>
      <c r="E142" s="442"/>
      <c r="F142" s="443"/>
      <c r="G142" s="444"/>
      <c r="H142" s="444"/>
      <c r="I142" s="444"/>
      <c r="J142" s="538"/>
      <c r="K142" s="538"/>
      <c r="L142" s="538"/>
      <c r="M142" s="538"/>
    </row>
    <row r="143" spans="1:13" s="65" customFormat="1" ht="28.5" customHeight="1">
      <c r="A143" s="843" t="s">
        <v>237</v>
      </c>
      <c r="B143" s="843"/>
      <c r="C143" s="1291" t="s">
        <v>238</v>
      </c>
      <c r="D143" s="1291"/>
      <c r="E143" s="445"/>
      <c r="F143" s="445"/>
      <c r="G143" s="542"/>
      <c r="H143" s="542"/>
      <c r="I143" s="542"/>
      <c r="J143" s="538"/>
      <c r="K143" s="538"/>
      <c r="L143" s="538"/>
      <c r="M143" s="538"/>
    </row>
    <row r="144" spans="1:13" s="65" customFormat="1" ht="28.5" customHeight="1">
      <c r="A144" s="843" t="s">
        <v>1194</v>
      </c>
      <c r="B144" s="844"/>
      <c r="C144" s="1291" t="s">
        <v>1180</v>
      </c>
      <c r="D144" s="1291"/>
      <c r="E144" s="445"/>
      <c r="F144" s="445"/>
      <c r="G144" s="844"/>
      <c r="H144" s="844"/>
      <c r="I144" s="844"/>
      <c r="J144" s="538"/>
      <c r="K144" s="538"/>
      <c r="L144" s="538"/>
      <c r="M144" s="538"/>
    </row>
    <row r="145" spans="1:13" s="65" customFormat="1" ht="24" customHeight="1">
      <c r="A145" s="1292" t="s">
        <v>447</v>
      </c>
      <c r="B145" s="1292"/>
      <c r="C145" s="1292"/>
      <c r="D145" s="1292"/>
      <c r="E145" s="1292"/>
      <c r="F145" s="1292"/>
      <c r="G145" s="1292"/>
      <c r="H145" s="1292"/>
      <c r="I145" s="1292"/>
      <c r="J145" s="538"/>
      <c r="K145" s="538"/>
      <c r="L145" s="538"/>
      <c r="M145" s="538"/>
    </row>
    <row r="146" spans="1:13" s="65" customFormat="1" ht="27" customHeight="1">
      <c r="A146" s="1293" t="s">
        <v>679</v>
      </c>
      <c r="B146" s="1293"/>
      <c r="C146" s="1293" t="s">
        <v>682</v>
      </c>
      <c r="D146" s="1293"/>
      <c r="E146" s="546"/>
      <c r="F146" s="546"/>
      <c r="G146" s="546"/>
      <c r="H146" s="546"/>
      <c r="I146" s="546"/>
      <c r="J146" s="538"/>
      <c r="K146" s="538"/>
      <c r="L146" s="538"/>
      <c r="M146" s="538"/>
    </row>
    <row r="147" spans="1:13" s="65" customFormat="1" ht="20.25" customHeight="1">
      <c r="A147" s="1301" t="s">
        <v>241</v>
      </c>
      <c r="B147" s="1301"/>
      <c r="C147" s="1291" t="s">
        <v>242</v>
      </c>
      <c r="D147" s="1291"/>
      <c r="E147" s="545"/>
      <c r="F147" s="545"/>
      <c r="G147" s="545"/>
      <c r="H147" s="545"/>
      <c r="I147" s="545"/>
      <c r="J147" s="538"/>
      <c r="K147" s="538"/>
      <c r="L147" s="538"/>
      <c r="M147" s="538"/>
    </row>
    <row r="148" spans="1:13" s="65" customFormat="1" ht="27" customHeight="1">
      <c r="A148" s="1301" t="s">
        <v>680</v>
      </c>
      <c r="B148" s="1301"/>
      <c r="C148" s="1291" t="s">
        <v>125</v>
      </c>
      <c r="D148" s="1291"/>
      <c r="E148" s="545"/>
      <c r="F148" s="545"/>
      <c r="G148" s="545"/>
      <c r="H148" s="545"/>
      <c r="I148" s="545"/>
      <c r="J148" s="538"/>
      <c r="K148" s="538"/>
      <c r="L148" s="538"/>
      <c r="M148" s="538"/>
    </row>
    <row r="149" spans="1:13" s="65" customFormat="1" ht="15.75">
      <c r="A149" s="1302" t="s">
        <v>326</v>
      </c>
      <c r="B149" s="1302"/>
      <c r="C149" s="1302"/>
      <c r="D149" s="1302"/>
      <c r="E149" s="1302"/>
      <c r="F149" s="1302"/>
      <c r="G149" s="1302"/>
      <c r="H149" s="1302"/>
      <c r="I149" s="1302"/>
      <c r="J149" s="538"/>
      <c r="K149" s="538"/>
      <c r="L149" s="538"/>
      <c r="M149" s="538"/>
    </row>
    <row r="150" spans="1:13" s="65" customFormat="1" ht="20.25" customHeight="1">
      <c r="A150" s="1301" t="s">
        <v>230</v>
      </c>
      <c r="B150" s="1301"/>
      <c r="C150" s="1303" t="s">
        <v>327</v>
      </c>
      <c r="D150" s="1303"/>
      <c r="E150" s="545"/>
      <c r="F150" s="545"/>
      <c r="G150" s="545"/>
      <c r="H150" s="545"/>
      <c r="I150" s="545"/>
      <c r="J150" s="538"/>
      <c r="K150" s="538"/>
      <c r="L150" s="538"/>
      <c r="M150" s="538"/>
    </row>
    <row r="151" spans="1:13" s="65" customFormat="1" ht="21" customHeight="1">
      <c r="A151" s="446" t="s">
        <v>243</v>
      </c>
      <c r="B151" s="446"/>
      <c r="C151" s="447"/>
      <c r="D151" s="448"/>
      <c r="E151" s="448" t="s">
        <v>1195</v>
      </c>
      <c r="F151" s="449"/>
      <c r="G151" s="1297" t="s">
        <v>244</v>
      </c>
      <c r="H151" s="1297"/>
      <c r="I151" s="449"/>
      <c r="J151" s="538"/>
      <c r="K151" s="538"/>
      <c r="L151" s="538"/>
      <c r="M151" s="538"/>
    </row>
    <row r="152" spans="1:13" s="65" customFormat="1" ht="20.25" customHeight="1">
      <c r="A152" s="1291" t="s">
        <v>314</v>
      </c>
      <c r="B152" s="1291"/>
      <c r="C152" s="543"/>
      <c r="D152" s="543"/>
      <c r="E152" s="1291" t="s">
        <v>632</v>
      </c>
      <c r="F152" s="1291"/>
      <c r="G152" s="1298" t="s">
        <v>687</v>
      </c>
      <c r="H152" s="1298"/>
      <c r="I152" s="450"/>
      <c r="J152" s="538"/>
      <c r="K152" s="538"/>
      <c r="L152" s="538"/>
      <c r="M152" s="538"/>
    </row>
    <row r="153" spans="1:13" s="65" customFormat="1" ht="21" customHeight="1">
      <c r="A153" s="1299" t="s">
        <v>315</v>
      </c>
      <c r="B153" s="1291"/>
      <c r="C153" s="542"/>
      <c r="D153" s="542"/>
      <c r="E153" s="1291" t="s">
        <v>329</v>
      </c>
      <c r="F153" s="1291"/>
      <c r="G153" s="1300" t="s">
        <v>681</v>
      </c>
      <c r="H153" s="1300"/>
      <c r="I153" s="542"/>
      <c r="J153" s="538"/>
      <c r="K153" s="538"/>
      <c r="L153" s="538"/>
      <c r="M153" s="538"/>
    </row>
    <row r="154" spans="1:13">
      <c r="A154" s="7"/>
      <c r="B154" s="7"/>
      <c r="C154" s="7"/>
      <c r="D154" s="7"/>
      <c r="E154" s="7"/>
      <c r="F154" s="7"/>
      <c r="G154" s="7"/>
      <c r="H154" s="7"/>
      <c r="I154" s="7"/>
    </row>
  </sheetData>
  <mergeCells count="240">
    <mergeCell ref="A6:I6"/>
    <mergeCell ref="A7:B7"/>
    <mergeCell ref="C7:D7"/>
    <mergeCell ref="A8:D8"/>
    <mergeCell ref="E8:I8"/>
    <mergeCell ref="A9:D9"/>
    <mergeCell ref="E9:I9"/>
    <mergeCell ref="A1:I1"/>
    <mergeCell ref="A2:I2"/>
    <mergeCell ref="A3:I3"/>
    <mergeCell ref="A4:I4"/>
    <mergeCell ref="A5:C5"/>
    <mergeCell ref="D5:E5"/>
    <mergeCell ref="A13:D13"/>
    <mergeCell ref="E13:I13"/>
    <mergeCell ref="A14:D14"/>
    <mergeCell ref="E14:I14"/>
    <mergeCell ref="A15:I15"/>
    <mergeCell ref="A16:I19"/>
    <mergeCell ref="A10:D10"/>
    <mergeCell ref="E10:I10"/>
    <mergeCell ref="A11:D11"/>
    <mergeCell ref="E11:I11"/>
    <mergeCell ref="A12:D12"/>
    <mergeCell ref="E12:I12"/>
    <mergeCell ref="A27:B27"/>
    <mergeCell ref="C27:D27"/>
    <mergeCell ref="F27:H27"/>
    <mergeCell ref="A28:B28"/>
    <mergeCell ref="C28:D28"/>
    <mergeCell ref="F28:H28"/>
    <mergeCell ref="A20:I20"/>
    <mergeCell ref="A21:I24"/>
    <mergeCell ref="A25:I25"/>
    <mergeCell ref="A26:B26"/>
    <mergeCell ref="C26:D26"/>
    <mergeCell ref="F26:H26"/>
    <mergeCell ref="A32:D32"/>
    <mergeCell ref="E32:I32"/>
    <mergeCell ref="A33:D33"/>
    <mergeCell ref="E33:I33"/>
    <mergeCell ref="A34:D34"/>
    <mergeCell ref="E34:I34"/>
    <mergeCell ref="A29:B29"/>
    <mergeCell ref="C29:D29"/>
    <mergeCell ref="E29:I29"/>
    <mergeCell ref="A30:D30"/>
    <mergeCell ref="E30:I30"/>
    <mergeCell ref="A31:D31"/>
    <mergeCell ref="E31:I31"/>
    <mergeCell ref="B43:C43"/>
    <mergeCell ref="F43:H43"/>
    <mergeCell ref="B44:C44"/>
    <mergeCell ref="F44:I44"/>
    <mergeCell ref="A45:C46"/>
    <mergeCell ref="D45:I45"/>
    <mergeCell ref="A35:I35"/>
    <mergeCell ref="A36:I39"/>
    <mergeCell ref="A40:I40"/>
    <mergeCell ref="A41:A42"/>
    <mergeCell ref="B41:C42"/>
    <mergeCell ref="D41:E41"/>
    <mergeCell ref="F41:I41"/>
    <mergeCell ref="F42:H42"/>
    <mergeCell ref="A53:C53"/>
    <mergeCell ref="A54:C54"/>
    <mergeCell ref="A55:C55"/>
    <mergeCell ref="A56:C56"/>
    <mergeCell ref="D58:F58"/>
    <mergeCell ref="H58:I58"/>
    <mergeCell ref="A47:C47"/>
    <mergeCell ref="A48:C48"/>
    <mergeCell ref="A49:C49"/>
    <mergeCell ref="A50:C50"/>
    <mergeCell ref="A51:C52"/>
    <mergeCell ref="D51:I51"/>
    <mergeCell ref="B62:C62"/>
    <mergeCell ref="H62:I62"/>
    <mergeCell ref="B63:C63"/>
    <mergeCell ref="H63:I63"/>
    <mergeCell ref="B64:C64"/>
    <mergeCell ref="H64:I64"/>
    <mergeCell ref="B59:C59"/>
    <mergeCell ref="H59:I59"/>
    <mergeCell ref="B60:C60"/>
    <mergeCell ref="H60:I60"/>
    <mergeCell ref="B61:C61"/>
    <mergeCell ref="H61:I61"/>
    <mergeCell ref="B68:C68"/>
    <mergeCell ref="H68:I68"/>
    <mergeCell ref="B69:C69"/>
    <mergeCell ref="H69:I69"/>
    <mergeCell ref="B70:C70"/>
    <mergeCell ref="H70:I70"/>
    <mergeCell ref="B65:C65"/>
    <mergeCell ref="H65:I65"/>
    <mergeCell ref="B66:C66"/>
    <mergeCell ref="H66:I66"/>
    <mergeCell ref="B67:C67"/>
    <mergeCell ref="H67:I67"/>
    <mergeCell ref="B74:C74"/>
    <mergeCell ref="H74:I74"/>
    <mergeCell ref="B75:C75"/>
    <mergeCell ref="H75:I75"/>
    <mergeCell ref="B76:C76"/>
    <mergeCell ref="H76:I76"/>
    <mergeCell ref="B71:C71"/>
    <mergeCell ref="H71:I71"/>
    <mergeCell ref="B72:C72"/>
    <mergeCell ref="H72:I72"/>
    <mergeCell ref="B73:C73"/>
    <mergeCell ref="H73:I73"/>
    <mergeCell ref="B80:C80"/>
    <mergeCell ref="H80:I80"/>
    <mergeCell ref="B81:C81"/>
    <mergeCell ref="H81:I81"/>
    <mergeCell ref="B82:C82"/>
    <mergeCell ref="H82:I82"/>
    <mergeCell ref="B77:C77"/>
    <mergeCell ref="H77:I77"/>
    <mergeCell ref="B78:C78"/>
    <mergeCell ref="H78:I78"/>
    <mergeCell ref="B79:C79"/>
    <mergeCell ref="H79:I79"/>
    <mergeCell ref="B86:C86"/>
    <mergeCell ref="H86:I86"/>
    <mergeCell ref="B87:C87"/>
    <mergeCell ref="H87:I87"/>
    <mergeCell ref="B88:C88"/>
    <mergeCell ref="H88:I88"/>
    <mergeCell ref="B83:C83"/>
    <mergeCell ref="H83:I83"/>
    <mergeCell ref="B84:C84"/>
    <mergeCell ref="H84:I84"/>
    <mergeCell ref="B85:C85"/>
    <mergeCell ref="H85:I85"/>
    <mergeCell ref="B92:C92"/>
    <mergeCell ref="H92:I92"/>
    <mergeCell ref="B93:C93"/>
    <mergeCell ref="H93:I93"/>
    <mergeCell ref="B94:C94"/>
    <mergeCell ref="H94:I94"/>
    <mergeCell ref="B89:C89"/>
    <mergeCell ref="H89:I89"/>
    <mergeCell ref="B90:C90"/>
    <mergeCell ref="H90:I90"/>
    <mergeCell ref="B91:C91"/>
    <mergeCell ref="H91:I91"/>
    <mergeCell ref="A100:I100"/>
    <mergeCell ref="A101:E101"/>
    <mergeCell ref="F101:H101"/>
    <mergeCell ref="A102:E102"/>
    <mergeCell ref="F102:H102"/>
    <mergeCell ref="A103:E103"/>
    <mergeCell ref="F103:H103"/>
    <mergeCell ref="B95:C95"/>
    <mergeCell ref="H95:I95"/>
    <mergeCell ref="A96:I96"/>
    <mergeCell ref="A97:I97"/>
    <mergeCell ref="A98:I98"/>
    <mergeCell ref="A99:D99"/>
    <mergeCell ref="E99:H99"/>
    <mergeCell ref="A108:E108"/>
    <mergeCell ref="F108:H108"/>
    <mergeCell ref="A109:E109"/>
    <mergeCell ref="F109:H109"/>
    <mergeCell ref="A110:E110"/>
    <mergeCell ref="F110:H110"/>
    <mergeCell ref="A104:E104"/>
    <mergeCell ref="F104:H104"/>
    <mergeCell ref="A105:E105"/>
    <mergeCell ref="F105:H105"/>
    <mergeCell ref="A106:I106"/>
    <mergeCell ref="A107:E107"/>
    <mergeCell ref="F107:H107"/>
    <mergeCell ref="A115:E115"/>
    <mergeCell ref="F115:H115"/>
    <mergeCell ref="A116:I116"/>
    <mergeCell ref="A117:E117"/>
    <mergeCell ref="F117:H117"/>
    <mergeCell ref="A118:E118"/>
    <mergeCell ref="F118:H118"/>
    <mergeCell ref="A111:E111"/>
    <mergeCell ref="F111:H111"/>
    <mergeCell ref="A112:I112"/>
    <mergeCell ref="A113:E113"/>
    <mergeCell ref="F113:H113"/>
    <mergeCell ref="A114:E114"/>
    <mergeCell ref="F114:H114"/>
    <mergeCell ref="A123:E123"/>
    <mergeCell ref="F123:I123"/>
    <mergeCell ref="A124:E124"/>
    <mergeCell ref="F124:I124"/>
    <mergeCell ref="A125:E125"/>
    <mergeCell ref="F125:I125"/>
    <mergeCell ref="A119:E119"/>
    <mergeCell ref="F119:H119"/>
    <mergeCell ref="A120:E120"/>
    <mergeCell ref="F120:H120"/>
    <mergeCell ref="A121:I121"/>
    <mergeCell ref="A122:E122"/>
    <mergeCell ref="F122:I122"/>
    <mergeCell ref="A132:I133"/>
    <mergeCell ref="A134:I134"/>
    <mergeCell ref="A135:B135"/>
    <mergeCell ref="E135:F135"/>
    <mergeCell ref="A136:B136"/>
    <mergeCell ref="E136:F136"/>
    <mergeCell ref="A126:E126"/>
    <mergeCell ref="F126:I126"/>
    <mergeCell ref="A127:E127"/>
    <mergeCell ref="F127:I127"/>
    <mergeCell ref="A128:I128"/>
    <mergeCell ref="A129:I131"/>
    <mergeCell ref="C142:D142"/>
    <mergeCell ref="C143:D143"/>
    <mergeCell ref="A145:I145"/>
    <mergeCell ref="A146:B146"/>
    <mergeCell ref="C146:D146"/>
    <mergeCell ref="A137:I137"/>
    <mergeCell ref="A138:I138"/>
    <mergeCell ref="A139:B139"/>
    <mergeCell ref="C139:D139"/>
    <mergeCell ref="C140:D140"/>
    <mergeCell ref="C141:D141"/>
    <mergeCell ref="C144:D144"/>
    <mergeCell ref="G151:H151"/>
    <mergeCell ref="A152:B152"/>
    <mergeCell ref="E152:F152"/>
    <mergeCell ref="G152:H152"/>
    <mergeCell ref="A153:B153"/>
    <mergeCell ref="E153:F153"/>
    <mergeCell ref="G153:H153"/>
    <mergeCell ref="A147:B147"/>
    <mergeCell ref="C147:D147"/>
    <mergeCell ref="A148:B148"/>
    <mergeCell ref="C148:D148"/>
    <mergeCell ref="A149:I149"/>
    <mergeCell ref="A150:B150"/>
    <mergeCell ref="C150:D150"/>
  </mergeCells>
  <hyperlinks>
    <hyperlink ref="F27" r:id="rId1"/>
    <hyperlink ref="E136" r:id="rId2"/>
  </hyperlinks>
  <pageMargins left="0.27" right="0.7" top="0.31" bottom="0.52" header="0.47" footer="0.3"/>
  <pageSetup paperSize="9" scale="6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1505" r:id="rId6" name="Check Box 1">
              <controlPr locked="0" defaultSize="0" autoFill="0" autoLine="0" autoPict="0" altText="">
                <anchor moveWithCells="1" sizeWithCells="1">
                  <from>
                    <xdr:col>7</xdr:col>
                    <xdr:colOff>266700</xdr:colOff>
                    <xdr:row>6</xdr:row>
                    <xdr:rowOff>38100</xdr:rowOff>
                  </from>
                  <to>
                    <xdr:col>7</xdr:col>
                    <xdr:colOff>647700</xdr:colOff>
                    <xdr:row>6</xdr:row>
                    <xdr:rowOff>142875</xdr:rowOff>
                  </to>
                </anchor>
              </controlPr>
            </control>
          </mc:Choice>
        </mc:AlternateContent>
        <mc:AlternateContent xmlns:mc="http://schemas.openxmlformats.org/markup-compatibility/2006">
          <mc:Choice Requires="x14">
            <control shapeId="21506" r:id="rId7" name="Check Box 2">
              <controlPr locked="0" defaultSize="0" autoFill="0" autoLine="0" autoPict="0" altText="">
                <anchor moveWithCells="1" sizeWithCells="1">
                  <from>
                    <xdr:col>8</xdr:col>
                    <xdr:colOff>438150</xdr:colOff>
                    <xdr:row>6</xdr:row>
                    <xdr:rowOff>28575</xdr:rowOff>
                  </from>
                  <to>
                    <xdr:col>8</xdr:col>
                    <xdr:colOff>819150</xdr:colOff>
                    <xdr:row>6</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83"/>
  <sheetViews>
    <sheetView rightToLeft="1" topLeftCell="A305" zoomScaleSheetLayoutView="98" workbookViewId="0">
      <selection activeCell="E300" sqref="E300"/>
    </sheetView>
  </sheetViews>
  <sheetFormatPr defaultRowHeight="15"/>
  <cols>
    <col min="2" max="2" width="12.7109375" customWidth="1"/>
    <col min="3" max="3" width="11.85546875" customWidth="1"/>
    <col min="4" max="4" width="11.42578125" customWidth="1"/>
    <col min="5" max="5" width="15.140625" customWidth="1"/>
    <col min="6" max="6" width="18" customWidth="1"/>
    <col min="7" max="7" width="19.140625" customWidth="1"/>
    <col min="8" max="8" width="16.140625" customWidth="1"/>
    <col min="9" max="9" width="18.85546875" customWidth="1"/>
    <col min="10" max="10" width="12.85546875" customWidth="1"/>
    <col min="11" max="11" width="12" customWidth="1"/>
    <col min="12" max="12" width="10.85546875" customWidth="1"/>
  </cols>
  <sheetData>
    <row r="1" spans="1:9">
      <c r="A1" s="1647" t="s">
        <v>131</v>
      </c>
      <c r="B1" s="1647"/>
      <c r="C1" s="1647"/>
      <c r="D1" s="1647"/>
      <c r="E1" s="1647"/>
      <c r="F1" s="1647"/>
      <c r="G1" s="1647"/>
      <c r="H1" s="1647"/>
      <c r="I1" s="1647"/>
    </row>
    <row r="2" spans="1:9">
      <c r="A2" s="1647" t="s">
        <v>132</v>
      </c>
      <c r="B2" s="1647"/>
      <c r="C2" s="1647"/>
      <c r="D2" s="1647"/>
      <c r="E2" s="1647"/>
      <c r="F2" s="1647"/>
      <c r="G2" s="1647"/>
      <c r="H2" s="1647"/>
      <c r="I2" s="1647"/>
    </row>
    <row r="3" spans="1:9">
      <c r="A3" s="1647" t="s">
        <v>133</v>
      </c>
      <c r="B3" s="1647"/>
      <c r="C3" s="1647"/>
      <c r="D3" s="1647"/>
      <c r="E3" s="1647"/>
      <c r="F3" s="1647"/>
      <c r="G3" s="1647"/>
      <c r="H3" s="1647"/>
      <c r="I3" s="1647"/>
    </row>
    <row r="4" spans="1:9" ht="18">
      <c r="A4" s="1648" t="s">
        <v>134</v>
      </c>
      <c r="B4" s="1648"/>
      <c r="C4" s="1648"/>
      <c r="D4" s="1648"/>
      <c r="E4" s="1648"/>
      <c r="F4" s="1648"/>
      <c r="G4" s="1648"/>
      <c r="H4" s="1648"/>
      <c r="I4" s="1648"/>
    </row>
    <row r="5" spans="1:9" ht="18">
      <c r="A5" s="1649" t="s">
        <v>135</v>
      </c>
      <c r="B5" s="1648"/>
      <c r="C5" s="1648"/>
      <c r="D5" s="1650" t="s">
        <v>136</v>
      </c>
      <c r="E5" s="1650"/>
      <c r="F5" s="196"/>
      <c r="G5" s="195"/>
      <c r="H5" s="195"/>
      <c r="I5" s="195"/>
    </row>
    <row r="6" spans="1:9">
      <c r="A6" s="1651" t="s">
        <v>137</v>
      </c>
      <c r="B6" s="1651"/>
      <c r="C6" s="1651"/>
      <c r="D6" s="1651"/>
      <c r="E6" s="1651"/>
      <c r="F6" s="1651"/>
      <c r="G6" s="1651"/>
      <c r="H6" s="1651"/>
      <c r="I6" s="1651"/>
    </row>
    <row r="7" spans="1:9">
      <c r="A7" s="1652" t="s">
        <v>138</v>
      </c>
      <c r="B7" s="1652"/>
      <c r="C7" s="1646" t="s">
        <v>139</v>
      </c>
      <c r="D7" s="1646"/>
      <c r="E7" s="15"/>
      <c r="F7" s="15" t="s">
        <v>140</v>
      </c>
      <c r="G7" s="16"/>
      <c r="H7" s="16" t="s">
        <v>141</v>
      </c>
      <c r="I7" s="16" t="s">
        <v>142</v>
      </c>
    </row>
    <row r="8" spans="1:9">
      <c r="A8" s="1645" t="s">
        <v>143</v>
      </c>
      <c r="B8" s="1645"/>
      <c r="C8" s="1645"/>
      <c r="D8" s="1645"/>
      <c r="E8" s="1646"/>
      <c r="F8" s="1646"/>
      <c r="G8" s="1646"/>
      <c r="H8" s="1646"/>
      <c r="I8" s="1646"/>
    </row>
    <row r="9" spans="1:9">
      <c r="A9" s="1645" t="s">
        <v>144</v>
      </c>
      <c r="B9" s="1645"/>
      <c r="C9" s="1645"/>
      <c r="D9" s="1645"/>
      <c r="E9" s="1646"/>
      <c r="F9" s="1646"/>
      <c r="G9" s="1646"/>
      <c r="H9" s="1646"/>
      <c r="I9" s="1646"/>
    </row>
    <row r="10" spans="1:9">
      <c r="A10" s="1645" t="s">
        <v>145</v>
      </c>
      <c r="B10" s="1645"/>
      <c r="C10" s="1645"/>
      <c r="D10" s="1645"/>
      <c r="E10" s="1646"/>
      <c r="F10" s="1646"/>
      <c r="G10" s="1646"/>
      <c r="H10" s="1646"/>
      <c r="I10" s="1646"/>
    </row>
    <row r="11" spans="1:9">
      <c r="A11" s="1645" t="s">
        <v>146</v>
      </c>
      <c r="B11" s="1645"/>
      <c r="C11" s="1645"/>
      <c r="D11" s="1645"/>
      <c r="E11" s="1625"/>
      <c r="F11" s="1625"/>
      <c r="G11" s="1625"/>
      <c r="H11" s="1625"/>
      <c r="I11" s="1625"/>
    </row>
    <row r="12" spans="1:9">
      <c r="A12" s="1640">
        <v>1395</v>
      </c>
      <c r="B12" s="1640"/>
      <c r="C12" s="1640"/>
      <c r="D12" s="1640"/>
      <c r="E12" s="1641"/>
      <c r="F12" s="1641"/>
      <c r="G12" s="1641"/>
      <c r="H12" s="1641"/>
      <c r="I12" s="1641"/>
    </row>
    <row r="13" spans="1:9">
      <c r="A13" s="1640">
        <v>1399</v>
      </c>
      <c r="B13" s="1640"/>
      <c r="C13" s="1640"/>
      <c r="D13" s="1640"/>
      <c r="E13" s="1641"/>
      <c r="F13" s="1641"/>
      <c r="G13" s="1641"/>
      <c r="H13" s="1641"/>
      <c r="I13" s="1641"/>
    </row>
    <row r="14" spans="1:9">
      <c r="A14" s="1640" t="s">
        <v>147</v>
      </c>
      <c r="B14" s="1640"/>
      <c r="C14" s="1640"/>
      <c r="D14" s="1640"/>
      <c r="E14" s="1642"/>
      <c r="F14" s="1642"/>
      <c r="G14" s="1642"/>
      <c r="H14" s="1642"/>
      <c r="I14" s="1642"/>
    </row>
    <row r="15" spans="1:9">
      <c r="A15" s="1626" t="s">
        <v>148</v>
      </c>
      <c r="B15" s="1626"/>
      <c r="C15" s="1626"/>
      <c r="D15" s="1626"/>
      <c r="E15" s="1626"/>
      <c r="F15" s="1626"/>
      <c r="G15" s="1626"/>
      <c r="H15" s="1626"/>
      <c r="I15" s="1626"/>
    </row>
    <row r="16" spans="1:9">
      <c r="A16" s="1643" t="s">
        <v>149</v>
      </c>
      <c r="B16" s="1643"/>
      <c r="C16" s="1643"/>
      <c r="D16" s="1643"/>
      <c r="E16" s="1643"/>
      <c r="F16" s="1643"/>
      <c r="G16" s="1643"/>
      <c r="H16" s="1643"/>
      <c r="I16" s="1643"/>
    </row>
    <row r="17" spans="1:9">
      <c r="A17" s="1643"/>
      <c r="B17" s="1643"/>
      <c r="C17" s="1643"/>
      <c r="D17" s="1643"/>
      <c r="E17" s="1643"/>
      <c r="F17" s="1643"/>
      <c r="G17" s="1643"/>
      <c r="H17" s="1643"/>
      <c r="I17" s="1643"/>
    </row>
    <row r="18" spans="1:9">
      <c r="A18" s="1643"/>
      <c r="B18" s="1643"/>
      <c r="C18" s="1643"/>
      <c r="D18" s="1643"/>
      <c r="E18" s="1643"/>
      <c r="F18" s="1643"/>
      <c r="G18" s="1643"/>
      <c r="H18" s="1643"/>
      <c r="I18" s="1643"/>
    </row>
    <row r="19" spans="1:9">
      <c r="A19" s="1643"/>
      <c r="B19" s="1643"/>
      <c r="C19" s="1643"/>
      <c r="D19" s="1643"/>
      <c r="E19" s="1643"/>
      <c r="F19" s="1643"/>
      <c r="G19" s="1643"/>
      <c r="H19" s="1643"/>
      <c r="I19" s="1643"/>
    </row>
    <row r="20" spans="1:9">
      <c r="A20" s="1626" t="s">
        <v>150</v>
      </c>
      <c r="B20" s="1626"/>
      <c r="C20" s="1626"/>
      <c r="D20" s="1626"/>
      <c r="E20" s="1626"/>
      <c r="F20" s="1626"/>
      <c r="G20" s="1626"/>
      <c r="H20" s="1626"/>
      <c r="I20" s="1626"/>
    </row>
    <row r="21" spans="1:9">
      <c r="A21" s="1644" t="s">
        <v>442</v>
      </c>
      <c r="B21" s="1644"/>
      <c r="C21" s="1644"/>
      <c r="D21" s="1644"/>
      <c r="E21" s="1644"/>
      <c r="F21" s="1644"/>
      <c r="G21" s="1644"/>
      <c r="H21" s="1644"/>
      <c r="I21" s="1644"/>
    </row>
    <row r="22" spans="1:9">
      <c r="A22" s="1644"/>
      <c r="B22" s="1644"/>
      <c r="C22" s="1644"/>
      <c r="D22" s="1644"/>
      <c r="E22" s="1644"/>
      <c r="F22" s="1644"/>
      <c r="G22" s="1644"/>
      <c r="H22" s="1644"/>
      <c r="I22" s="1644"/>
    </row>
    <row r="23" spans="1:9">
      <c r="A23" s="1644"/>
      <c r="B23" s="1644"/>
      <c r="C23" s="1644"/>
      <c r="D23" s="1644"/>
      <c r="E23" s="1644"/>
      <c r="F23" s="1644"/>
      <c r="G23" s="1644"/>
      <c r="H23" s="1644"/>
      <c r="I23" s="1644"/>
    </row>
    <row r="24" spans="1:9" ht="122.25" customHeight="1">
      <c r="A24" s="1644"/>
      <c r="B24" s="1644"/>
      <c r="C24" s="1644"/>
      <c r="D24" s="1644"/>
      <c r="E24" s="1644"/>
      <c r="F24" s="1644"/>
      <c r="G24" s="1644"/>
      <c r="H24" s="1644"/>
      <c r="I24" s="1644"/>
    </row>
    <row r="25" spans="1:9" ht="17.25" customHeight="1">
      <c r="A25" s="1644" t="s">
        <v>151</v>
      </c>
      <c r="B25" s="1644"/>
      <c r="C25" s="1644"/>
      <c r="D25" s="1644"/>
      <c r="E25" s="1644"/>
      <c r="F25" s="1644"/>
      <c r="G25" s="1644"/>
      <c r="H25" s="1644"/>
      <c r="I25" s="1644"/>
    </row>
    <row r="26" spans="1:9" ht="21" customHeight="1">
      <c r="A26" s="1635" t="s">
        <v>152</v>
      </c>
      <c r="B26" s="1635"/>
      <c r="C26" s="1635"/>
      <c r="D26" s="1635"/>
      <c r="E26" s="1635"/>
      <c r="F26" s="1635"/>
      <c r="G26" s="1635"/>
      <c r="H26" s="1635"/>
      <c r="I26" s="1635"/>
    </row>
    <row r="27" spans="1:9">
      <c r="A27" s="1636" t="s">
        <v>153</v>
      </c>
      <c r="B27" s="1636"/>
      <c r="C27" s="194"/>
      <c r="D27" s="17"/>
      <c r="E27" s="17" t="s">
        <v>154</v>
      </c>
      <c r="F27" s="1637" t="s">
        <v>155</v>
      </c>
      <c r="G27" s="1637"/>
      <c r="H27" s="1637"/>
      <c r="I27" s="194" t="s">
        <v>156</v>
      </c>
    </row>
    <row r="28" spans="1:9">
      <c r="A28" s="1631" t="s">
        <v>157</v>
      </c>
      <c r="B28" s="1631"/>
      <c r="C28" s="1632" t="s">
        <v>158</v>
      </c>
      <c r="D28" s="1632"/>
      <c r="E28" s="18" t="s">
        <v>159</v>
      </c>
      <c r="F28" s="1638" t="s">
        <v>160</v>
      </c>
      <c r="G28" s="1638"/>
      <c r="H28" s="1633"/>
      <c r="I28" s="19">
        <v>700007218</v>
      </c>
    </row>
    <row r="29" spans="1:9">
      <c r="A29" s="1639" t="s">
        <v>161</v>
      </c>
      <c r="B29" s="1639"/>
      <c r="C29" s="1633"/>
      <c r="D29" s="1633"/>
      <c r="E29" s="20"/>
      <c r="F29" s="1633"/>
      <c r="G29" s="1633"/>
      <c r="H29" s="1633"/>
      <c r="I29" s="21"/>
    </row>
    <row r="30" spans="1:9">
      <c r="A30" s="1631" t="s">
        <v>162</v>
      </c>
      <c r="B30" s="1631"/>
      <c r="C30" s="1632" t="s">
        <v>158</v>
      </c>
      <c r="D30" s="1632"/>
      <c r="E30" s="1631" t="s">
        <v>163</v>
      </c>
      <c r="F30" s="1631"/>
      <c r="G30" s="1631"/>
      <c r="H30" s="1631"/>
      <c r="I30" s="1631"/>
    </row>
    <row r="31" spans="1:9">
      <c r="A31" s="1631" t="s">
        <v>164</v>
      </c>
      <c r="B31" s="1631"/>
      <c r="C31" s="1631"/>
      <c r="D31" s="1631"/>
      <c r="E31" s="1633"/>
      <c r="F31" s="1633"/>
      <c r="G31" s="1633"/>
      <c r="H31" s="1633"/>
      <c r="I31" s="1633"/>
    </row>
    <row r="32" spans="1:9">
      <c r="A32" s="1625" t="s">
        <v>165</v>
      </c>
      <c r="B32" s="1625"/>
      <c r="C32" s="1625"/>
      <c r="D32" s="1625"/>
      <c r="E32" s="1634" t="s">
        <v>166</v>
      </c>
      <c r="F32" s="1634"/>
      <c r="G32" s="1634"/>
      <c r="H32" s="1634"/>
      <c r="I32" s="1634"/>
    </row>
    <row r="33" spans="1:9">
      <c r="A33" s="1625" t="s">
        <v>167</v>
      </c>
      <c r="B33" s="1625"/>
      <c r="C33" s="1625"/>
      <c r="D33" s="1625"/>
      <c r="E33" s="1625" t="s">
        <v>168</v>
      </c>
      <c r="F33" s="1625"/>
      <c r="G33" s="1625"/>
      <c r="H33" s="1625"/>
      <c r="I33" s="1625"/>
    </row>
    <row r="34" spans="1:9">
      <c r="A34" s="1625" t="s">
        <v>169</v>
      </c>
      <c r="B34" s="1625"/>
      <c r="C34" s="1625"/>
      <c r="D34" s="1625"/>
      <c r="E34" s="1625" t="s">
        <v>170</v>
      </c>
      <c r="F34" s="1625"/>
      <c r="G34" s="1625"/>
      <c r="H34" s="1625"/>
      <c r="I34" s="1625"/>
    </row>
    <row r="35" spans="1:9">
      <c r="A35" s="1625" t="s">
        <v>171</v>
      </c>
      <c r="B35" s="1625"/>
      <c r="C35" s="1625"/>
      <c r="D35" s="1625"/>
      <c r="E35" s="1625" t="s">
        <v>172</v>
      </c>
      <c r="F35" s="1625"/>
      <c r="G35" s="1625"/>
      <c r="H35" s="1625"/>
      <c r="I35" s="1625"/>
    </row>
    <row r="36" spans="1:9">
      <c r="A36" s="1626" t="s">
        <v>173</v>
      </c>
      <c r="B36" s="1626"/>
      <c r="C36" s="1626"/>
      <c r="D36" s="1626"/>
      <c r="E36" s="1626"/>
      <c r="F36" s="1626"/>
      <c r="G36" s="1626"/>
      <c r="H36" s="1626"/>
      <c r="I36" s="1626"/>
    </row>
    <row r="37" spans="1:9">
      <c r="A37" s="1627" t="s">
        <v>174</v>
      </c>
      <c r="B37" s="1627"/>
      <c r="C37" s="1627"/>
      <c r="D37" s="1627"/>
      <c r="E37" s="1627"/>
      <c r="F37" s="1627"/>
      <c r="G37" s="1627"/>
      <c r="H37" s="1627"/>
      <c r="I37" s="1627"/>
    </row>
    <row r="38" spans="1:9">
      <c r="A38" s="1627"/>
      <c r="B38" s="1627"/>
      <c r="C38" s="1627"/>
      <c r="D38" s="1627"/>
      <c r="E38" s="1627"/>
      <c r="F38" s="1627"/>
      <c r="G38" s="1627"/>
      <c r="H38" s="1627"/>
      <c r="I38" s="1627"/>
    </row>
    <row r="39" spans="1:9">
      <c r="A39" s="1627"/>
      <c r="B39" s="1627"/>
      <c r="C39" s="1627"/>
      <c r="D39" s="1627"/>
      <c r="E39" s="1627"/>
      <c r="F39" s="1627"/>
      <c r="G39" s="1627"/>
      <c r="H39" s="1627"/>
      <c r="I39" s="1627"/>
    </row>
    <row r="40" spans="1:9">
      <c r="A40" s="1627"/>
      <c r="B40" s="1627"/>
      <c r="C40" s="1627"/>
      <c r="D40" s="1627"/>
      <c r="E40" s="1627"/>
      <c r="F40" s="1627"/>
      <c r="G40" s="1627"/>
      <c r="H40" s="1627"/>
      <c r="I40" s="1627"/>
    </row>
    <row r="41" spans="1:9">
      <c r="A41" s="1491" t="s">
        <v>175</v>
      </c>
      <c r="B41" s="1491"/>
      <c r="C41" s="1491"/>
      <c r="D41" s="1491"/>
      <c r="E41" s="1491"/>
      <c r="F41" s="1491"/>
      <c r="G41" s="1491"/>
      <c r="H41" s="1491"/>
      <c r="I41" s="1491"/>
    </row>
    <row r="42" spans="1:9">
      <c r="A42" s="1628" t="s">
        <v>176</v>
      </c>
      <c r="B42" s="1629" t="s">
        <v>177</v>
      </c>
      <c r="C42" s="1629"/>
      <c r="D42" s="1630" t="s">
        <v>178</v>
      </c>
      <c r="E42" s="1630"/>
      <c r="F42" s="1629" t="s">
        <v>179</v>
      </c>
      <c r="G42" s="1629"/>
      <c r="H42" s="1629"/>
      <c r="I42" s="1629"/>
    </row>
    <row r="43" spans="1:9">
      <c r="A43" s="1628"/>
      <c r="B43" s="1629"/>
      <c r="C43" s="1629"/>
      <c r="D43" s="193" t="s">
        <v>180</v>
      </c>
      <c r="E43" s="193" t="s">
        <v>181</v>
      </c>
      <c r="F43" s="1629" t="s">
        <v>182</v>
      </c>
      <c r="G43" s="1629"/>
      <c r="H43" s="1629"/>
      <c r="I43" s="192" t="s">
        <v>183</v>
      </c>
    </row>
    <row r="44" spans="1:9">
      <c r="A44" s="22"/>
      <c r="B44" s="1623"/>
      <c r="C44" s="1623"/>
      <c r="D44" s="23"/>
      <c r="E44" s="23"/>
      <c r="F44" s="1623"/>
      <c r="G44" s="1623"/>
      <c r="H44" s="1623"/>
      <c r="I44" s="22"/>
    </row>
    <row r="45" spans="1:9">
      <c r="A45" s="24" t="s">
        <v>184</v>
      </c>
      <c r="B45" s="1624"/>
      <c r="C45" s="1624"/>
      <c r="D45" s="25" t="s">
        <v>185</v>
      </c>
      <c r="E45" s="26"/>
      <c r="F45" s="1606" t="s">
        <v>186</v>
      </c>
      <c r="G45" s="1606"/>
      <c r="H45" s="1606"/>
      <c r="I45" s="1606"/>
    </row>
    <row r="46" spans="1:9">
      <c r="A46" s="1353" t="s">
        <v>187</v>
      </c>
      <c r="B46" s="1353"/>
      <c r="C46" s="1353"/>
      <c r="D46" s="1353" t="s">
        <v>188</v>
      </c>
      <c r="E46" s="1353"/>
      <c r="F46" s="1353"/>
      <c r="G46" s="1353"/>
      <c r="H46" s="1353"/>
      <c r="I46" s="1353"/>
    </row>
    <row r="47" spans="1:9">
      <c r="A47" s="1353"/>
      <c r="B47" s="1353"/>
      <c r="C47" s="1353"/>
      <c r="D47" s="27">
        <v>1395</v>
      </c>
      <c r="E47" s="27" t="s">
        <v>189</v>
      </c>
      <c r="F47" s="28">
        <v>1397</v>
      </c>
      <c r="G47" s="29">
        <v>1398</v>
      </c>
      <c r="H47" s="29">
        <v>13999</v>
      </c>
      <c r="I47" s="29" t="s">
        <v>190</v>
      </c>
    </row>
    <row r="48" spans="1:9">
      <c r="A48" s="1348" t="s">
        <v>191</v>
      </c>
      <c r="B48" s="1348"/>
      <c r="C48" s="1348"/>
      <c r="D48" s="30"/>
      <c r="E48" s="30"/>
      <c r="F48" s="31"/>
      <c r="G48" s="32"/>
      <c r="H48" s="33"/>
      <c r="I48" s="34"/>
    </row>
    <row r="49" spans="1:9">
      <c r="A49" s="1348" t="s">
        <v>192</v>
      </c>
      <c r="B49" s="1348"/>
      <c r="C49" s="1348"/>
      <c r="D49" s="30"/>
      <c r="E49" s="35"/>
      <c r="F49" s="35"/>
      <c r="G49" s="35"/>
      <c r="H49" s="35"/>
      <c r="I49" s="34"/>
    </row>
    <row r="50" spans="1:9">
      <c r="A50" s="1348" t="s">
        <v>193</v>
      </c>
      <c r="B50" s="1348"/>
      <c r="C50" s="1348"/>
      <c r="D50" s="30"/>
      <c r="E50" s="35"/>
      <c r="F50" s="35"/>
      <c r="G50" s="35"/>
      <c r="H50" s="35"/>
      <c r="I50" s="34"/>
    </row>
    <row r="51" spans="1:9">
      <c r="A51" s="1349" t="s">
        <v>194</v>
      </c>
      <c r="B51" s="1349"/>
      <c r="C51" s="1349"/>
      <c r="D51" s="36"/>
      <c r="E51" s="36"/>
      <c r="F51" s="36"/>
      <c r="G51" s="36"/>
      <c r="H51" s="36"/>
      <c r="I51" s="36"/>
    </row>
    <row r="52" spans="1:9">
      <c r="A52" s="1353" t="s">
        <v>195</v>
      </c>
      <c r="B52" s="1353"/>
      <c r="C52" s="1353"/>
      <c r="D52" s="1285" t="s">
        <v>196</v>
      </c>
      <c r="E52" s="1285"/>
      <c r="F52" s="1285"/>
      <c r="G52" s="1285"/>
      <c r="H52" s="1285"/>
      <c r="I52" s="1285"/>
    </row>
    <row r="53" spans="1:9">
      <c r="A53" s="1353"/>
      <c r="B53" s="1353"/>
      <c r="C53" s="1353"/>
      <c r="D53" s="28">
        <v>1395</v>
      </c>
      <c r="E53" s="28">
        <v>1396</v>
      </c>
      <c r="F53" s="28">
        <v>1397</v>
      </c>
      <c r="G53" s="28">
        <v>1398</v>
      </c>
      <c r="H53" s="29">
        <v>1399</v>
      </c>
      <c r="I53" s="29" t="s">
        <v>190</v>
      </c>
    </row>
    <row r="54" spans="1:9">
      <c r="A54" s="1348" t="s">
        <v>191</v>
      </c>
      <c r="B54" s="1348"/>
      <c r="C54" s="1348"/>
      <c r="D54" s="30">
        <f>B96</f>
        <v>0</v>
      </c>
      <c r="E54" s="30"/>
      <c r="F54" s="30"/>
      <c r="G54" s="32"/>
      <c r="H54" s="33"/>
      <c r="I54" s="34"/>
    </row>
    <row r="55" spans="1:9">
      <c r="A55" s="1348" t="s">
        <v>192</v>
      </c>
      <c r="B55" s="1348"/>
      <c r="C55" s="1348"/>
      <c r="D55" s="30">
        <f>D96</f>
        <v>45489709.03461089</v>
      </c>
      <c r="E55" s="30">
        <f>'[2]خلاصه '!$C$21</f>
        <v>46059709.03461089</v>
      </c>
      <c r="F55" s="30"/>
      <c r="G55" s="35"/>
      <c r="H55" s="35"/>
      <c r="I55" s="34"/>
    </row>
    <row r="56" spans="1:9">
      <c r="A56" s="1348" t="s">
        <v>193</v>
      </c>
      <c r="B56" s="1348"/>
      <c r="C56" s="1348"/>
      <c r="D56" s="30">
        <f>E96</f>
        <v>570000</v>
      </c>
      <c r="E56" s="35"/>
      <c r="F56" s="35"/>
      <c r="G56" s="35"/>
      <c r="H56" s="35"/>
      <c r="I56" s="34"/>
    </row>
    <row r="57" spans="1:9">
      <c r="A57" s="1349" t="s">
        <v>194</v>
      </c>
      <c r="B57" s="1349"/>
      <c r="C57" s="1349"/>
      <c r="D57" s="37">
        <f>SUM(D54:D56)</f>
        <v>46059709.03461089</v>
      </c>
      <c r="E57" s="171">
        <f>SUM(E54:E56)</f>
        <v>46059709.03461089</v>
      </c>
      <c r="F57" s="37"/>
      <c r="G57" s="37"/>
      <c r="H57" s="37"/>
      <c r="I57" s="37"/>
    </row>
    <row r="58" spans="1:9">
      <c r="A58" s="38"/>
      <c r="B58" s="38"/>
      <c r="C58" s="38"/>
      <c r="D58" s="39"/>
      <c r="E58" s="39"/>
      <c r="F58" s="39"/>
      <c r="G58" s="39"/>
      <c r="H58" s="39"/>
      <c r="I58" s="39"/>
    </row>
    <row r="59" spans="1:9">
      <c r="A59" s="40" t="s">
        <v>197</v>
      </c>
      <c r="B59" s="40"/>
      <c r="C59" s="40"/>
      <c r="D59" s="1621" t="s">
        <v>443</v>
      </c>
      <c r="E59" s="1621"/>
      <c r="F59" s="1621"/>
      <c r="G59" s="28"/>
      <c r="H59" s="1622"/>
      <c r="I59" s="1622"/>
    </row>
    <row r="60" spans="1:9" ht="25.5">
      <c r="A60" s="41" t="s">
        <v>199</v>
      </c>
      <c r="B60" s="1617" t="s">
        <v>191</v>
      </c>
      <c r="C60" s="1617"/>
      <c r="D60" s="42" t="s">
        <v>200</v>
      </c>
      <c r="E60" s="42" t="s">
        <v>201</v>
      </c>
      <c r="F60" s="42" t="s">
        <v>202</v>
      </c>
      <c r="G60" s="191" t="s">
        <v>444</v>
      </c>
      <c r="H60" s="1618" t="s">
        <v>203</v>
      </c>
      <c r="I60" s="1618"/>
    </row>
    <row r="61" spans="1:9" ht="15.75">
      <c r="A61" s="104" t="s">
        <v>37</v>
      </c>
      <c r="B61" s="1608"/>
      <c r="C61" s="1608"/>
      <c r="D61" s="45">
        <f>'[2]خلاصه '!$C$20</f>
        <v>600000</v>
      </c>
      <c r="E61" s="43"/>
      <c r="F61" s="172">
        <f>E61+D61</f>
        <v>600000</v>
      </c>
      <c r="G61" s="173">
        <f>F61/67</f>
        <v>8955.2238805970155</v>
      </c>
      <c r="H61" s="1347"/>
      <c r="I61" s="1347"/>
    </row>
    <row r="62" spans="1:9">
      <c r="A62" s="44" t="s">
        <v>204</v>
      </c>
      <c r="B62" s="1608"/>
      <c r="C62" s="1608"/>
      <c r="D62" s="45"/>
      <c r="E62" s="43"/>
      <c r="F62" s="172">
        <f t="shared" ref="F62:F95" si="0">D62+E62</f>
        <v>0</v>
      </c>
      <c r="G62" s="173">
        <f t="shared" ref="G62:G95" si="1">F62/67</f>
        <v>0</v>
      </c>
      <c r="H62" s="1608"/>
      <c r="I62" s="1608"/>
    </row>
    <row r="63" spans="1:9">
      <c r="A63" s="44" t="s">
        <v>66</v>
      </c>
      <c r="B63" s="1608"/>
      <c r="C63" s="1608"/>
      <c r="D63" s="46">
        <f>1472398-E63</f>
        <v>1412398</v>
      </c>
      <c r="E63" s="46">
        <v>60000</v>
      </c>
      <c r="F63" s="172">
        <f t="shared" si="0"/>
        <v>1472398</v>
      </c>
      <c r="G63" s="173">
        <f t="shared" si="1"/>
        <v>21976.089552238805</v>
      </c>
      <c r="H63" s="1619"/>
      <c r="I63" s="1619"/>
    </row>
    <row r="64" spans="1:9">
      <c r="A64" s="44" t="s">
        <v>68</v>
      </c>
      <c r="B64" s="1620"/>
      <c r="C64" s="1620"/>
      <c r="D64" s="45"/>
      <c r="E64" s="47"/>
      <c r="F64" s="172">
        <f t="shared" si="0"/>
        <v>0</v>
      </c>
      <c r="G64" s="173">
        <f t="shared" si="1"/>
        <v>0</v>
      </c>
      <c r="H64" s="1608"/>
      <c r="I64" s="1608"/>
    </row>
    <row r="65" spans="1:9">
      <c r="A65" s="44" t="s">
        <v>69</v>
      </c>
      <c r="B65" s="1608"/>
      <c r="C65" s="1608"/>
      <c r="D65" s="45"/>
      <c r="E65" s="47"/>
      <c r="F65" s="172">
        <f t="shared" si="0"/>
        <v>0</v>
      </c>
      <c r="G65" s="173">
        <f t="shared" si="1"/>
        <v>0</v>
      </c>
      <c r="H65" s="1608"/>
      <c r="I65" s="1608"/>
    </row>
    <row r="66" spans="1:9">
      <c r="A66" s="44" t="s">
        <v>59</v>
      </c>
      <c r="B66" s="1608"/>
      <c r="C66" s="1608"/>
      <c r="D66" s="45">
        <v>2375098</v>
      </c>
      <c r="E66" s="47"/>
      <c r="F66" s="172">
        <f t="shared" si="0"/>
        <v>2375098</v>
      </c>
      <c r="G66" s="173">
        <f t="shared" si="1"/>
        <v>35449.223880597012</v>
      </c>
      <c r="H66" s="1608"/>
      <c r="I66" s="1608"/>
    </row>
    <row r="67" spans="1:9">
      <c r="A67" s="44" t="s">
        <v>31</v>
      </c>
      <c r="B67" s="1616"/>
      <c r="C67" s="1616"/>
      <c r="D67" s="45"/>
      <c r="E67" s="47"/>
      <c r="F67" s="172">
        <f t="shared" si="0"/>
        <v>0</v>
      </c>
      <c r="G67" s="173">
        <f t="shared" si="1"/>
        <v>0</v>
      </c>
      <c r="H67" s="1608"/>
      <c r="I67" s="1608"/>
    </row>
    <row r="68" spans="1:9">
      <c r="A68" s="44" t="s">
        <v>72</v>
      </c>
      <c r="B68" s="1608"/>
      <c r="C68" s="1608"/>
      <c r="D68" s="45"/>
      <c r="E68" s="47"/>
      <c r="F68" s="172">
        <f t="shared" si="0"/>
        <v>0</v>
      </c>
      <c r="G68" s="173">
        <f t="shared" si="1"/>
        <v>0</v>
      </c>
      <c r="H68" s="1608"/>
      <c r="I68" s="1608"/>
    </row>
    <row r="69" spans="1:9">
      <c r="A69" s="48" t="s">
        <v>73</v>
      </c>
      <c r="B69" s="1608"/>
      <c r="C69" s="1608"/>
      <c r="D69" s="45"/>
      <c r="E69" s="47"/>
      <c r="F69" s="172">
        <f t="shared" si="0"/>
        <v>0</v>
      </c>
      <c r="G69" s="173">
        <f t="shared" si="1"/>
        <v>0</v>
      </c>
      <c r="H69" s="1608"/>
      <c r="I69" s="1608"/>
    </row>
    <row r="70" spans="1:9">
      <c r="A70" s="44" t="s">
        <v>58</v>
      </c>
      <c r="B70" s="1616"/>
      <c r="C70" s="1616"/>
      <c r="D70" s="45">
        <f>2856998-E70</f>
        <v>2796998</v>
      </c>
      <c r="E70" s="174">
        <v>60000</v>
      </c>
      <c r="F70" s="172">
        <f t="shared" si="0"/>
        <v>2856998</v>
      </c>
      <c r="G70" s="173">
        <f t="shared" si="1"/>
        <v>42641.761194029852</v>
      </c>
      <c r="H70" s="1608"/>
      <c r="I70" s="1608"/>
    </row>
    <row r="71" spans="1:9">
      <c r="A71" s="44" t="s">
        <v>53</v>
      </c>
      <c r="B71" s="1608"/>
      <c r="C71" s="1608"/>
      <c r="D71" s="45">
        <v>6425238</v>
      </c>
      <c r="E71" s="47"/>
      <c r="F71" s="172">
        <f t="shared" si="0"/>
        <v>6425238</v>
      </c>
      <c r="G71" s="173">
        <f t="shared" si="1"/>
        <v>95899.074626865666</v>
      </c>
      <c r="H71" s="1608"/>
      <c r="I71" s="1608"/>
    </row>
    <row r="72" spans="1:9">
      <c r="A72" s="44" t="s">
        <v>57</v>
      </c>
      <c r="B72" s="1608"/>
      <c r="C72" s="1608"/>
      <c r="D72" s="45">
        <f>'[2]جوزجان '!$G$36</f>
        <v>4208346</v>
      </c>
      <c r="E72" s="47"/>
      <c r="F72" s="172">
        <f t="shared" si="0"/>
        <v>4208346</v>
      </c>
      <c r="G72" s="173">
        <f t="shared" si="1"/>
        <v>62811.13432835821</v>
      </c>
      <c r="H72" s="1608"/>
      <c r="I72" s="1608"/>
    </row>
    <row r="73" spans="1:9">
      <c r="A73" s="44" t="s">
        <v>63</v>
      </c>
      <c r="B73" s="1616"/>
      <c r="C73" s="1616"/>
      <c r="D73" s="45">
        <f>[2]فاریاب!$G$22</f>
        <v>3054853.0346108912</v>
      </c>
      <c r="E73" s="47"/>
      <c r="F73" s="172">
        <f t="shared" si="0"/>
        <v>3054853.0346108912</v>
      </c>
      <c r="G73" s="173">
        <f t="shared" si="1"/>
        <v>45594.821412102858</v>
      </c>
      <c r="H73" s="1608"/>
      <c r="I73" s="1608"/>
    </row>
    <row r="74" spans="1:9" ht="15.75">
      <c r="A74" s="44" t="s">
        <v>41</v>
      </c>
      <c r="B74" s="1616"/>
      <c r="C74" s="1616"/>
      <c r="D74" s="175">
        <f>1781798-E74</f>
        <v>1631798</v>
      </c>
      <c r="E74" s="45">
        <v>150000</v>
      </c>
      <c r="F74" s="172">
        <f t="shared" si="0"/>
        <v>1781798</v>
      </c>
      <c r="G74" s="173">
        <f t="shared" si="1"/>
        <v>26594</v>
      </c>
      <c r="H74" s="1608"/>
      <c r="I74" s="1608"/>
    </row>
    <row r="75" spans="1:9">
      <c r="A75" s="48" t="s">
        <v>71</v>
      </c>
      <c r="B75" s="1608"/>
      <c r="C75" s="1608"/>
      <c r="D75" s="45">
        <f>2058498-E75</f>
        <v>1998498</v>
      </c>
      <c r="E75" s="45">
        <v>60000</v>
      </c>
      <c r="F75" s="172">
        <f t="shared" si="0"/>
        <v>2058498</v>
      </c>
      <c r="G75" s="173">
        <f t="shared" si="1"/>
        <v>30723.850746268658</v>
      </c>
      <c r="H75" s="1608"/>
      <c r="I75" s="1608"/>
    </row>
    <row r="76" spans="1:9">
      <c r="A76" s="44" t="s">
        <v>67</v>
      </c>
      <c r="B76" s="1616"/>
      <c r="C76" s="1616"/>
      <c r="D76" s="45"/>
      <c r="E76" s="47"/>
      <c r="F76" s="172">
        <f t="shared" si="0"/>
        <v>0</v>
      </c>
      <c r="G76" s="173">
        <f t="shared" si="1"/>
        <v>0</v>
      </c>
      <c r="H76" s="1608"/>
      <c r="I76" s="1608"/>
    </row>
    <row r="77" spans="1:9">
      <c r="A77" s="48" t="s">
        <v>74</v>
      </c>
      <c r="B77" s="1608"/>
      <c r="C77" s="1608"/>
      <c r="D77" s="45"/>
      <c r="E77" s="47"/>
      <c r="F77" s="172">
        <f t="shared" si="0"/>
        <v>0</v>
      </c>
      <c r="G77" s="173">
        <f t="shared" si="1"/>
        <v>0</v>
      </c>
      <c r="H77" s="1608"/>
      <c r="I77" s="1608"/>
    </row>
    <row r="78" spans="1:9">
      <c r="A78" s="48" t="s">
        <v>75</v>
      </c>
      <c r="B78" s="1608"/>
      <c r="C78" s="1608"/>
      <c r="D78" s="45"/>
      <c r="E78" s="47"/>
      <c r="F78" s="172">
        <f t="shared" si="0"/>
        <v>0</v>
      </c>
      <c r="G78" s="173">
        <f t="shared" si="1"/>
        <v>0</v>
      </c>
      <c r="H78" s="1608"/>
      <c r="I78" s="1608"/>
    </row>
    <row r="79" spans="1:9">
      <c r="A79" s="48" t="s">
        <v>32</v>
      </c>
      <c r="B79" s="1616"/>
      <c r="C79" s="1616"/>
      <c r="D79" s="45"/>
      <c r="E79" s="47"/>
      <c r="F79" s="172">
        <f t="shared" si="0"/>
        <v>0</v>
      </c>
      <c r="G79" s="173">
        <f t="shared" si="1"/>
        <v>0</v>
      </c>
      <c r="H79" s="1608"/>
      <c r="I79" s="1608"/>
    </row>
    <row r="80" spans="1:9">
      <c r="A80" s="44" t="s">
        <v>35</v>
      </c>
      <c r="B80" s="1608"/>
      <c r="C80" s="1608"/>
      <c r="D80" s="45"/>
      <c r="E80" s="47"/>
      <c r="F80" s="172">
        <f t="shared" si="0"/>
        <v>0</v>
      </c>
      <c r="G80" s="173">
        <f t="shared" si="1"/>
        <v>0</v>
      </c>
      <c r="H80" s="1608"/>
      <c r="I80" s="1608"/>
    </row>
    <row r="81" spans="1:9">
      <c r="A81" s="44" t="s">
        <v>205</v>
      </c>
      <c r="B81" s="1608"/>
      <c r="C81" s="1608"/>
      <c r="D81" s="45"/>
      <c r="E81" s="47"/>
      <c r="F81" s="172">
        <f t="shared" si="0"/>
        <v>0</v>
      </c>
      <c r="G81" s="173">
        <f t="shared" si="1"/>
        <v>0</v>
      </c>
      <c r="H81" s="1608"/>
      <c r="I81" s="1608"/>
    </row>
    <row r="82" spans="1:9">
      <c r="A82" s="44" t="s">
        <v>78</v>
      </c>
      <c r="B82" s="1616"/>
      <c r="C82" s="1616"/>
      <c r="D82" s="45"/>
      <c r="E82" s="47"/>
      <c r="F82" s="172">
        <f t="shared" si="0"/>
        <v>0</v>
      </c>
      <c r="G82" s="173">
        <f t="shared" si="1"/>
        <v>0</v>
      </c>
      <c r="H82" s="1608"/>
      <c r="I82" s="1608"/>
    </row>
    <row r="83" spans="1:9">
      <c r="A83" s="44" t="s">
        <v>206</v>
      </c>
      <c r="B83" s="1608"/>
      <c r="C83" s="1608"/>
      <c r="D83" s="45"/>
      <c r="E83" s="47"/>
      <c r="F83" s="172">
        <f t="shared" si="0"/>
        <v>0</v>
      </c>
      <c r="G83" s="173">
        <f t="shared" si="1"/>
        <v>0</v>
      </c>
      <c r="H83" s="1608"/>
      <c r="I83" s="1608"/>
    </row>
    <row r="84" spans="1:9">
      <c r="A84" s="44" t="s">
        <v>79</v>
      </c>
      <c r="B84" s="1608"/>
      <c r="C84" s="1608"/>
      <c r="D84" s="45"/>
      <c r="E84" s="47"/>
      <c r="F84" s="172">
        <f t="shared" si="0"/>
        <v>0</v>
      </c>
      <c r="G84" s="173">
        <f t="shared" si="1"/>
        <v>0</v>
      </c>
      <c r="H84" s="1608"/>
      <c r="I84" s="1608"/>
    </row>
    <row r="85" spans="1:9">
      <c r="A85" s="44" t="s">
        <v>80</v>
      </c>
      <c r="B85" s="1616"/>
      <c r="C85" s="1616"/>
      <c r="D85" s="45"/>
      <c r="E85" s="47"/>
      <c r="F85" s="172">
        <f t="shared" si="0"/>
        <v>0</v>
      </c>
      <c r="G85" s="173">
        <f t="shared" si="1"/>
        <v>0</v>
      </c>
      <c r="H85" s="1608"/>
      <c r="I85" s="1608"/>
    </row>
    <row r="86" spans="1:9">
      <c r="A86" s="44" t="s">
        <v>47</v>
      </c>
      <c r="B86" s="1616"/>
      <c r="C86" s="1616"/>
      <c r="D86" s="45">
        <f>2855798-E86</f>
        <v>2795798</v>
      </c>
      <c r="E86" s="45">
        <v>60000</v>
      </c>
      <c r="F86" s="172">
        <f t="shared" si="0"/>
        <v>2855798</v>
      </c>
      <c r="G86" s="173">
        <f t="shared" si="1"/>
        <v>42623.850746268654</v>
      </c>
      <c r="H86" s="1608"/>
      <c r="I86" s="1608"/>
    </row>
    <row r="87" spans="1:9">
      <c r="A87" s="44" t="s">
        <v>77</v>
      </c>
      <c r="B87" s="1608"/>
      <c r="C87" s="1608"/>
      <c r="D87" s="45">
        <f>2640998-E87</f>
        <v>2580998</v>
      </c>
      <c r="E87" s="45">
        <v>60000</v>
      </c>
      <c r="F87" s="172">
        <f t="shared" si="0"/>
        <v>2640998</v>
      </c>
      <c r="G87" s="173">
        <f t="shared" si="1"/>
        <v>39417.880597014926</v>
      </c>
      <c r="H87" s="1608"/>
      <c r="I87" s="1608"/>
    </row>
    <row r="88" spans="1:9">
      <c r="A88" s="44" t="s">
        <v>56</v>
      </c>
      <c r="B88" s="1608"/>
      <c r="C88" s="1608"/>
      <c r="D88" s="45">
        <v>1999698</v>
      </c>
      <c r="E88" s="45">
        <v>60000</v>
      </c>
      <c r="F88" s="172">
        <f t="shared" si="0"/>
        <v>2059698</v>
      </c>
      <c r="G88" s="173">
        <f t="shared" si="1"/>
        <v>30741.761194029852</v>
      </c>
      <c r="H88" s="1608"/>
      <c r="I88" s="1608"/>
    </row>
    <row r="89" spans="1:9">
      <c r="A89" s="44" t="s">
        <v>64</v>
      </c>
      <c r="B89" s="1608"/>
      <c r="C89" s="1608"/>
      <c r="D89" s="45"/>
      <c r="E89" s="47"/>
      <c r="F89" s="172">
        <f t="shared" si="0"/>
        <v>0</v>
      </c>
      <c r="G89" s="173">
        <f t="shared" si="1"/>
        <v>0</v>
      </c>
      <c r="H89" s="1608"/>
      <c r="I89" s="1608"/>
    </row>
    <row r="90" spans="1:9">
      <c r="A90" s="44" t="s">
        <v>76</v>
      </c>
      <c r="B90" s="1608"/>
      <c r="C90" s="1608"/>
      <c r="D90" s="176">
        <f>1688398-E90</f>
        <v>1628398</v>
      </c>
      <c r="E90" s="45">
        <v>60000</v>
      </c>
      <c r="F90" s="172">
        <f t="shared" si="0"/>
        <v>1688398</v>
      </c>
      <c r="G90" s="173">
        <f t="shared" si="1"/>
        <v>25199.970149253732</v>
      </c>
      <c r="H90" s="1608"/>
      <c r="I90" s="1608"/>
    </row>
    <row r="91" spans="1:9">
      <c r="A91" s="44" t="s">
        <v>65</v>
      </c>
      <c r="B91" s="1616"/>
      <c r="C91" s="1616"/>
      <c r="D91" s="45">
        <f>[2]هرات!$H$36</f>
        <v>4504346</v>
      </c>
      <c r="E91" s="47"/>
      <c r="F91" s="172">
        <f t="shared" si="0"/>
        <v>4504346</v>
      </c>
      <c r="G91" s="173">
        <f t="shared" si="1"/>
        <v>67229.044776119408</v>
      </c>
      <c r="H91" s="1608"/>
      <c r="I91" s="1608"/>
    </row>
    <row r="92" spans="1:9">
      <c r="A92" s="44" t="s">
        <v>62</v>
      </c>
      <c r="B92" s="1608"/>
      <c r="C92" s="1608"/>
      <c r="D92" s="45">
        <f>[2]فراه!$G$29</f>
        <v>4411438</v>
      </c>
      <c r="E92" s="49"/>
      <c r="F92" s="172">
        <f t="shared" si="0"/>
        <v>4411438</v>
      </c>
      <c r="G92" s="173">
        <f t="shared" si="1"/>
        <v>65842.358208955222</v>
      </c>
      <c r="H92" s="1608"/>
      <c r="I92" s="1608"/>
    </row>
    <row r="93" spans="1:9">
      <c r="A93" s="44" t="s">
        <v>60</v>
      </c>
      <c r="B93" s="1608"/>
      <c r="C93" s="1608"/>
      <c r="D93" s="45">
        <f>[2]غور!$G$37</f>
        <v>3065806</v>
      </c>
      <c r="E93" s="47"/>
      <c r="F93" s="172">
        <f t="shared" si="0"/>
        <v>3065806</v>
      </c>
      <c r="G93" s="173">
        <f t="shared" si="1"/>
        <v>45758.298507462685</v>
      </c>
      <c r="H93" s="1608"/>
      <c r="I93" s="1608"/>
    </row>
    <row r="94" spans="1:9">
      <c r="A94" s="44" t="s">
        <v>70</v>
      </c>
      <c r="B94" s="1616"/>
      <c r="C94" s="1616"/>
      <c r="D94" s="45"/>
      <c r="E94" s="47"/>
      <c r="F94" s="172">
        <f t="shared" si="0"/>
        <v>0</v>
      </c>
      <c r="G94" s="173">
        <f t="shared" si="1"/>
        <v>0</v>
      </c>
      <c r="H94" s="1608"/>
      <c r="I94" s="1608"/>
    </row>
    <row r="95" spans="1:9">
      <c r="A95" s="44" t="s">
        <v>34</v>
      </c>
      <c r="B95" s="1608"/>
      <c r="C95" s="1608"/>
      <c r="D95" s="45"/>
      <c r="E95" s="47"/>
      <c r="F95" s="172">
        <f t="shared" si="0"/>
        <v>0</v>
      </c>
      <c r="G95" s="173">
        <f t="shared" si="1"/>
        <v>0</v>
      </c>
      <c r="H95" s="1608"/>
      <c r="I95" s="1608"/>
    </row>
    <row r="96" spans="1:9">
      <c r="A96" s="107" t="s">
        <v>207</v>
      </c>
      <c r="B96" s="1609"/>
      <c r="C96" s="1609"/>
      <c r="D96" s="108">
        <f>SUM(D61:D95)</f>
        <v>45489709.03461089</v>
      </c>
      <c r="E96" s="108">
        <f>SUM(E61:E95)</f>
        <v>570000</v>
      </c>
      <c r="F96" s="177">
        <f>SUM(F61:F95)</f>
        <v>46059709.03461089</v>
      </c>
      <c r="G96" s="178">
        <f>F96/67</f>
        <v>687458.34380016255</v>
      </c>
      <c r="H96" s="1610">
        <f>SUM(H61:I95)</f>
        <v>0</v>
      </c>
      <c r="I96" s="1610"/>
    </row>
    <row r="97" spans="1:9">
      <c r="A97" s="1611" t="s">
        <v>208</v>
      </c>
      <c r="B97" s="1611"/>
      <c r="C97" s="1611"/>
      <c r="D97" s="1611"/>
      <c r="E97" s="1611"/>
      <c r="F97" s="1611"/>
      <c r="G97" s="1611"/>
      <c r="H97" s="1611"/>
      <c r="I97" s="1611"/>
    </row>
    <row r="98" spans="1:9">
      <c r="A98" s="1612" t="s">
        <v>209</v>
      </c>
      <c r="B98" s="1612"/>
      <c r="C98" s="1612"/>
      <c r="D98" s="1612"/>
      <c r="E98" s="1612"/>
      <c r="F98" s="1612"/>
      <c r="G98" s="1612"/>
      <c r="H98" s="1612"/>
      <c r="I98" s="1612"/>
    </row>
    <row r="99" spans="1:9">
      <c r="A99" s="1613" t="s">
        <v>210</v>
      </c>
      <c r="B99" s="1613"/>
      <c r="C99" s="1613"/>
      <c r="D99" s="1613"/>
      <c r="E99" s="1613"/>
      <c r="F99" s="1613"/>
      <c r="G99" s="1613"/>
      <c r="H99" s="1613"/>
      <c r="I99" s="1613"/>
    </row>
    <row r="100" spans="1:9">
      <c r="A100" s="1614" t="s">
        <v>211</v>
      </c>
      <c r="B100" s="1614"/>
      <c r="C100" s="1614"/>
      <c r="D100" s="1614"/>
      <c r="E100" s="1615" t="s">
        <v>212</v>
      </c>
      <c r="F100" s="1615"/>
      <c r="G100" s="1615"/>
      <c r="H100" s="1615"/>
      <c r="I100" s="105" t="s">
        <v>213</v>
      </c>
    </row>
    <row r="101" spans="1:9">
      <c r="A101" s="1603" t="s">
        <v>445</v>
      </c>
      <c r="B101" s="1603"/>
      <c r="C101" s="1603"/>
      <c r="D101" s="1603"/>
      <c r="E101" s="1603"/>
      <c r="F101" s="1603"/>
      <c r="G101" s="1603"/>
      <c r="H101" s="1603"/>
      <c r="I101" s="190"/>
    </row>
    <row r="102" spans="1:9">
      <c r="A102" s="1491" t="s">
        <v>214</v>
      </c>
      <c r="B102" s="1491"/>
      <c r="C102" s="1491"/>
      <c r="D102" s="1491"/>
      <c r="E102" s="1491"/>
      <c r="F102" s="1491"/>
      <c r="G102" s="1491"/>
      <c r="H102" s="1491"/>
      <c r="I102" s="1491"/>
    </row>
    <row r="103" spans="1:9">
      <c r="A103" s="1604" t="s">
        <v>215</v>
      </c>
      <c r="B103" s="1604"/>
      <c r="C103" s="1604"/>
      <c r="D103" s="1604"/>
      <c r="E103" s="1604"/>
      <c r="F103" s="1605" t="s">
        <v>216</v>
      </c>
      <c r="G103" s="1605"/>
      <c r="H103" s="1605"/>
      <c r="I103" s="1605"/>
    </row>
    <row r="104" spans="1:9">
      <c r="A104" s="1604" t="s">
        <v>217</v>
      </c>
      <c r="B104" s="1604"/>
      <c r="C104" s="1604"/>
      <c r="D104" s="1604"/>
      <c r="E104" s="1604"/>
      <c r="F104" s="1606" t="s">
        <v>216</v>
      </c>
      <c r="G104" s="1606"/>
      <c r="H104" s="1606"/>
      <c r="I104" s="1606"/>
    </row>
    <row r="105" spans="1:9">
      <c r="A105" s="1607" t="s">
        <v>218</v>
      </c>
      <c r="B105" s="1607"/>
      <c r="C105" s="1607"/>
      <c r="D105" s="1607"/>
      <c r="E105" s="1607"/>
      <c r="F105" s="1606" t="s">
        <v>216</v>
      </c>
      <c r="G105" s="1606"/>
      <c r="H105" s="1606"/>
      <c r="I105" s="1606"/>
    </row>
    <row r="106" spans="1:9">
      <c r="A106" s="1600" t="s">
        <v>219</v>
      </c>
      <c r="B106" s="1600"/>
      <c r="C106" s="1600"/>
      <c r="D106" s="1600"/>
      <c r="E106" s="1600"/>
      <c r="F106" s="1601" t="s">
        <v>220</v>
      </c>
      <c r="G106" s="1601"/>
      <c r="H106" s="1601"/>
      <c r="I106" s="1601"/>
    </row>
    <row r="107" spans="1:9">
      <c r="A107" s="1600" t="s">
        <v>221</v>
      </c>
      <c r="B107" s="1600"/>
      <c r="C107" s="1600"/>
      <c r="D107" s="1600"/>
      <c r="E107" s="1600"/>
      <c r="F107" s="1602"/>
      <c r="G107" s="1602"/>
      <c r="H107" s="1602"/>
      <c r="I107" s="1602"/>
    </row>
    <row r="108" spans="1:9">
      <c r="A108" s="1600" t="s">
        <v>222</v>
      </c>
      <c r="B108" s="1600"/>
      <c r="C108" s="1600"/>
      <c r="D108" s="1600"/>
      <c r="E108" s="1600"/>
      <c r="F108" s="1602"/>
      <c r="G108" s="1602"/>
      <c r="H108" s="1602"/>
      <c r="I108" s="1602"/>
    </row>
    <row r="109" spans="1:9">
      <c r="A109" s="1491" t="s">
        <v>223</v>
      </c>
      <c r="B109" s="1491"/>
      <c r="C109" s="1491"/>
      <c r="D109" s="1491"/>
      <c r="E109" s="1491"/>
      <c r="F109" s="1491"/>
      <c r="G109" s="1491"/>
      <c r="H109" s="1491"/>
      <c r="I109" s="1491"/>
    </row>
    <row r="110" spans="1:9">
      <c r="A110" s="1492" t="s">
        <v>224</v>
      </c>
      <c r="B110" s="1492"/>
      <c r="C110" s="1492"/>
      <c r="D110" s="1492"/>
      <c r="E110" s="1492"/>
      <c r="F110" s="1492"/>
      <c r="G110" s="1492"/>
      <c r="H110" s="1492"/>
      <c r="I110" s="1492"/>
    </row>
    <row r="111" spans="1:9">
      <c r="A111" s="1492"/>
      <c r="B111" s="1492"/>
      <c r="C111" s="1492"/>
      <c r="D111" s="1492"/>
      <c r="E111" s="1492"/>
      <c r="F111" s="1492"/>
      <c r="G111" s="1492"/>
      <c r="H111" s="1492"/>
      <c r="I111" s="1492"/>
    </row>
    <row r="112" spans="1:9">
      <c r="A112" s="1492"/>
      <c r="B112" s="1492"/>
      <c r="C112" s="1492"/>
      <c r="D112" s="1492"/>
      <c r="E112" s="1492"/>
      <c r="F112" s="1492"/>
      <c r="G112" s="1492"/>
      <c r="H112" s="1492"/>
      <c r="I112" s="1492"/>
    </row>
    <row r="113" spans="1:9">
      <c r="A113" s="1286"/>
      <c r="B113" s="1286"/>
      <c r="C113" s="1286"/>
      <c r="D113" s="1286"/>
      <c r="E113" s="1286"/>
      <c r="F113" s="1286"/>
      <c r="G113" s="1286"/>
      <c r="H113" s="1286"/>
      <c r="I113" s="1286"/>
    </row>
    <row r="114" spans="1:9">
      <c r="A114" s="1286"/>
      <c r="B114" s="1286"/>
      <c r="C114" s="1286"/>
      <c r="D114" s="1286"/>
      <c r="E114" s="1286"/>
      <c r="F114" s="1286"/>
      <c r="G114" s="1286"/>
      <c r="H114" s="1286"/>
      <c r="I114" s="1286"/>
    </row>
    <row r="115" spans="1:9">
      <c r="A115" s="1287" t="s">
        <v>225</v>
      </c>
      <c r="B115" s="1287"/>
      <c r="C115" s="1287"/>
      <c r="D115" s="1287"/>
      <c r="E115" s="1287"/>
      <c r="F115" s="1287"/>
      <c r="G115" s="1287"/>
      <c r="H115" s="1287"/>
      <c r="I115" s="1287"/>
    </row>
    <row r="116" spans="1:9">
      <c r="A116" s="1288" t="s">
        <v>226</v>
      </c>
      <c r="B116" s="1288"/>
      <c r="C116" s="187" t="s">
        <v>227</v>
      </c>
      <c r="D116" s="188" t="s">
        <v>228</v>
      </c>
      <c r="E116" s="1289" t="s">
        <v>229</v>
      </c>
      <c r="F116" s="1289"/>
      <c r="G116" s="187"/>
      <c r="H116" s="187" t="s">
        <v>156</v>
      </c>
      <c r="I116" s="187" t="s">
        <v>181</v>
      </c>
    </row>
    <row r="117" spans="1:9" ht="36.75">
      <c r="A117" s="1305" t="s">
        <v>230</v>
      </c>
      <c r="B117" s="1305"/>
      <c r="C117" s="50" t="s">
        <v>4</v>
      </c>
      <c r="D117" s="51" t="s">
        <v>231</v>
      </c>
      <c r="E117" s="1306" t="s">
        <v>160</v>
      </c>
      <c r="F117" s="1307"/>
      <c r="G117" s="189"/>
      <c r="H117" s="50">
        <v>700007218</v>
      </c>
      <c r="I117" s="52"/>
    </row>
    <row r="118" spans="1:9">
      <c r="A118" s="1294"/>
      <c r="B118" s="1294"/>
      <c r="C118" s="1294"/>
      <c r="D118" s="1294"/>
      <c r="E118" s="1294"/>
      <c r="F118" s="1294"/>
      <c r="G118" s="1294"/>
      <c r="H118" s="1294"/>
      <c r="I118" s="1294"/>
    </row>
    <row r="119" spans="1:9">
      <c r="A119" s="1295" t="s">
        <v>446</v>
      </c>
      <c r="B119" s="1295"/>
      <c r="C119" s="1295"/>
      <c r="D119" s="1295"/>
      <c r="E119" s="1295"/>
      <c r="F119" s="1295"/>
      <c r="G119" s="1295"/>
      <c r="H119" s="1295"/>
      <c r="I119" s="1295"/>
    </row>
    <row r="120" spans="1:9">
      <c r="A120" s="1490" t="s">
        <v>226</v>
      </c>
      <c r="B120" s="1490"/>
      <c r="C120" s="1490" t="s">
        <v>232</v>
      </c>
      <c r="D120" s="1490"/>
      <c r="E120" s="53" t="s">
        <v>233</v>
      </c>
      <c r="F120" s="54"/>
      <c r="G120" s="55"/>
      <c r="H120" s="55"/>
      <c r="I120" s="55"/>
    </row>
    <row r="121" spans="1:9">
      <c r="A121" s="1599" t="s">
        <v>237</v>
      </c>
      <c r="B121" s="1599"/>
      <c r="C121" s="1185" t="s">
        <v>238</v>
      </c>
      <c r="D121" s="1185"/>
      <c r="E121" s="56"/>
      <c r="F121" s="56"/>
      <c r="G121" s="185"/>
      <c r="H121" s="185"/>
      <c r="I121" s="185"/>
    </row>
    <row r="122" spans="1:9">
      <c r="A122" s="1295" t="s">
        <v>447</v>
      </c>
      <c r="B122" s="1295"/>
      <c r="C122" s="1295"/>
      <c r="D122" s="1295"/>
      <c r="E122" s="1295"/>
      <c r="F122" s="1295"/>
      <c r="G122" s="1295"/>
      <c r="H122" s="1295"/>
      <c r="I122" s="1295"/>
    </row>
    <row r="123" spans="1:9">
      <c r="A123" s="1480" t="s">
        <v>241</v>
      </c>
      <c r="B123" s="1480"/>
      <c r="C123" s="1185" t="s">
        <v>242</v>
      </c>
      <c r="D123" s="1185"/>
      <c r="E123" s="186"/>
      <c r="F123" s="186"/>
      <c r="G123" s="186"/>
      <c r="H123" s="186"/>
      <c r="I123" s="186"/>
    </row>
    <row r="124" spans="1:9">
      <c r="A124" s="1489" t="s">
        <v>326</v>
      </c>
      <c r="B124" s="1489"/>
      <c r="C124" s="1489"/>
      <c r="D124" s="1489"/>
      <c r="E124" s="1489"/>
      <c r="F124" s="1489"/>
      <c r="G124" s="1489"/>
      <c r="H124" s="1489"/>
      <c r="I124" s="1489"/>
    </row>
    <row r="125" spans="1:9">
      <c r="A125" s="1480" t="s">
        <v>230</v>
      </c>
      <c r="B125" s="1480"/>
      <c r="C125" s="1185" t="s">
        <v>327</v>
      </c>
      <c r="D125" s="1185"/>
      <c r="E125" s="186"/>
      <c r="F125" s="186"/>
      <c r="G125" s="186"/>
      <c r="H125" s="186"/>
      <c r="I125" s="186"/>
    </row>
    <row r="126" spans="1:9">
      <c r="A126" s="57" t="s">
        <v>243</v>
      </c>
      <c r="B126" s="57"/>
      <c r="C126" s="57"/>
      <c r="D126" s="58"/>
      <c r="E126" s="57" t="s">
        <v>243</v>
      </c>
      <c r="G126" s="1481" t="s">
        <v>244</v>
      </c>
      <c r="H126" s="1481"/>
      <c r="I126" s="1"/>
    </row>
    <row r="127" spans="1:9">
      <c r="A127" s="1482" t="s">
        <v>314</v>
      </c>
      <c r="B127" s="1482"/>
      <c r="C127" s="59"/>
      <c r="D127" s="60"/>
      <c r="E127" s="184" t="s">
        <v>328</v>
      </c>
      <c r="G127" s="1483" t="s">
        <v>317</v>
      </c>
      <c r="H127" s="1483"/>
      <c r="I127" s="1"/>
    </row>
    <row r="128" spans="1:9">
      <c r="A128" s="1484" t="s">
        <v>315</v>
      </c>
      <c r="B128" s="1482"/>
      <c r="C128" s="62"/>
      <c r="D128" s="62"/>
      <c r="E128" s="61" t="s">
        <v>329</v>
      </c>
      <c r="G128" s="1485" t="s">
        <v>318</v>
      </c>
      <c r="H128" s="1485"/>
      <c r="I128" s="62"/>
    </row>
    <row r="129" spans="1:12">
      <c r="A129" s="7"/>
      <c r="B129" s="7"/>
      <c r="C129" s="7"/>
      <c r="D129" s="7"/>
      <c r="E129" s="7"/>
      <c r="F129" s="7"/>
      <c r="G129" s="7"/>
      <c r="H129" s="7"/>
      <c r="I129" s="7"/>
    </row>
    <row r="130" spans="1:12" ht="15" customHeight="1">
      <c r="A130" s="1563" t="s">
        <v>370</v>
      </c>
      <c r="B130" s="1563"/>
      <c r="C130" s="1563"/>
      <c r="D130" s="1563"/>
      <c r="E130" s="1563"/>
      <c r="F130" s="1563"/>
      <c r="G130" s="1563"/>
      <c r="H130" s="1563"/>
      <c r="I130" s="1563"/>
      <c r="J130" s="1563"/>
      <c r="K130" s="1563"/>
      <c r="L130" s="1563"/>
    </row>
    <row r="131" spans="1:12" ht="15.75" customHeight="1">
      <c r="A131" s="1563"/>
      <c r="B131" s="1563"/>
      <c r="C131" s="1563"/>
      <c r="D131" s="1563"/>
      <c r="E131" s="1563"/>
      <c r="F131" s="1563"/>
      <c r="G131" s="1563"/>
      <c r="H131" s="1563"/>
      <c r="I131" s="1563"/>
      <c r="J131" s="1563"/>
      <c r="K131" s="1563"/>
      <c r="L131" s="1563"/>
    </row>
    <row r="132" spans="1:12" ht="19.5" thickBot="1">
      <c r="A132" s="1564" t="s">
        <v>371</v>
      </c>
      <c r="B132" s="1564"/>
      <c r="C132" s="1564"/>
      <c r="D132" s="1564"/>
      <c r="E132" s="1564"/>
      <c r="F132" s="1564"/>
      <c r="G132" s="1564"/>
      <c r="H132" s="1564"/>
      <c r="I132" s="1564"/>
      <c r="J132" s="1564"/>
      <c r="K132" s="1564"/>
      <c r="L132" s="1564"/>
    </row>
    <row r="133" spans="1:12" ht="15.75">
      <c r="A133" s="1565" t="s">
        <v>372</v>
      </c>
      <c r="B133" s="1566"/>
      <c r="C133" s="1566"/>
      <c r="D133" s="215" t="s">
        <v>373</v>
      </c>
      <c r="E133" s="219" t="s">
        <v>374</v>
      </c>
      <c r="F133" s="1566" t="s">
        <v>375</v>
      </c>
      <c r="G133" s="1566"/>
      <c r="H133" s="1566"/>
      <c r="I133" s="1566"/>
      <c r="J133" s="1566"/>
      <c r="K133" s="1566"/>
      <c r="L133" s="1567"/>
    </row>
    <row r="134" spans="1:12" ht="15.75">
      <c r="A134" s="1571" t="s">
        <v>376</v>
      </c>
      <c r="B134" s="1572"/>
      <c r="C134" s="1573"/>
      <c r="D134" s="1580" t="s">
        <v>377</v>
      </c>
      <c r="E134" s="1580" t="s">
        <v>335</v>
      </c>
      <c r="F134" s="1583" t="s">
        <v>378</v>
      </c>
      <c r="G134" s="1584"/>
      <c r="H134" s="1584"/>
      <c r="I134" s="1585"/>
      <c r="J134" s="1568" t="s">
        <v>379</v>
      </c>
      <c r="K134" s="1569"/>
      <c r="L134" s="1570"/>
    </row>
    <row r="135" spans="1:12" ht="15.75">
      <c r="A135" s="1574"/>
      <c r="B135" s="1575"/>
      <c r="C135" s="1576"/>
      <c r="D135" s="1581"/>
      <c r="E135" s="1581"/>
      <c r="F135" s="1586"/>
      <c r="G135" s="1587"/>
      <c r="H135" s="1587"/>
      <c r="I135" s="1588"/>
      <c r="J135" s="132">
        <v>1396</v>
      </c>
      <c r="K135" s="132">
        <v>1397</v>
      </c>
      <c r="L135" s="133">
        <v>1398</v>
      </c>
    </row>
    <row r="136" spans="1:12">
      <c r="A136" s="1574"/>
      <c r="B136" s="1575"/>
      <c r="C136" s="1576"/>
      <c r="D136" s="1581"/>
      <c r="E136" s="1581"/>
      <c r="F136" s="1459" t="s">
        <v>380</v>
      </c>
      <c r="G136" s="1460"/>
      <c r="H136" s="1460"/>
      <c r="I136" s="1461"/>
      <c r="J136" s="134">
        <f>1024000/67</f>
        <v>15283.582089552239</v>
      </c>
      <c r="K136" s="1593">
        <f>18786502/67</f>
        <v>280395.55223880598</v>
      </c>
      <c r="L136" s="1596">
        <f>19968402/67</f>
        <v>298035.85074626864</v>
      </c>
    </row>
    <row r="137" spans="1:12">
      <c r="A137" s="1574"/>
      <c r="B137" s="1575"/>
      <c r="C137" s="1576"/>
      <c r="D137" s="1581"/>
      <c r="E137" s="1581"/>
      <c r="F137" s="1458" t="s">
        <v>381</v>
      </c>
      <c r="G137" s="1458"/>
      <c r="H137" s="1458"/>
      <c r="I137" s="1458"/>
      <c r="J137" s="134">
        <f>13317496/67</f>
        <v>198768.59701492538</v>
      </c>
      <c r="K137" s="1594"/>
      <c r="L137" s="1597"/>
    </row>
    <row r="138" spans="1:12">
      <c r="A138" s="1574"/>
      <c r="B138" s="1575"/>
      <c r="C138" s="1576"/>
      <c r="D138" s="1581"/>
      <c r="E138" s="1581"/>
      <c r="F138" s="1458" t="s">
        <v>382</v>
      </c>
      <c r="G138" s="1458"/>
      <c r="H138" s="1458"/>
      <c r="I138" s="1458"/>
      <c r="J138" s="135">
        <f>3912000/67</f>
        <v>58388.059701492537</v>
      </c>
      <c r="K138" s="1594"/>
      <c r="L138" s="1597"/>
    </row>
    <row r="139" spans="1:12">
      <c r="A139" s="1574"/>
      <c r="B139" s="1575"/>
      <c r="C139" s="1576"/>
      <c r="D139" s="1581"/>
      <c r="E139" s="1581"/>
      <c r="F139" s="1458" t="s">
        <v>383</v>
      </c>
      <c r="G139" s="1458"/>
      <c r="H139" s="1458"/>
      <c r="I139" s="1458"/>
      <c r="J139" s="135">
        <f>36936000/67</f>
        <v>551283.58208955219</v>
      </c>
      <c r="K139" s="1594"/>
      <c r="L139" s="1597"/>
    </row>
    <row r="140" spans="1:12">
      <c r="A140" s="1574"/>
      <c r="B140" s="1575"/>
      <c r="C140" s="1576"/>
      <c r="D140" s="1581"/>
      <c r="E140" s="1581"/>
      <c r="F140" s="1459" t="s">
        <v>384</v>
      </c>
      <c r="G140" s="1460"/>
      <c r="H140" s="1460"/>
      <c r="I140" s="1461"/>
      <c r="J140" s="136">
        <f>7560000/67</f>
        <v>112835.82089552238</v>
      </c>
      <c r="K140" s="1594"/>
      <c r="L140" s="1597"/>
    </row>
    <row r="141" spans="1:12">
      <c r="A141" s="1574"/>
      <c r="B141" s="1575"/>
      <c r="C141" s="1576"/>
      <c r="D141" s="1581"/>
      <c r="E141" s="1581"/>
      <c r="F141" s="1459" t="s">
        <v>385</v>
      </c>
      <c r="G141" s="1460"/>
      <c r="H141" s="1460"/>
      <c r="I141" s="1461"/>
      <c r="J141" s="136">
        <f>200000/67</f>
        <v>2985.0746268656717</v>
      </c>
      <c r="K141" s="1594"/>
      <c r="L141" s="1597"/>
    </row>
    <row r="142" spans="1:12" ht="15" customHeight="1">
      <c r="A142" s="1574"/>
      <c r="B142" s="1575"/>
      <c r="C142" s="1576"/>
      <c r="D142" s="1581"/>
      <c r="E142" s="1581"/>
      <c r="F142" s="1459" t="s">
        <v>386</v>
      </c>
      <c r="G142" s="1460"/>
      <c r="H142" s="1460"/>
      <c r="I142" s="1461"/>
      <c r="J142" s="136">
        <f>700000/67</f>
        <v>10447.76119402985</v>
      </c>
      <c r="K142" s="1594"/>
      <c r="L142" s="1597"/>
    </row>
    <row r="143" spans="1:12">
      <c r="A143" s="1574"/>
      <c r="B143" s="1575"/>
      <c r="C143" s="1576"/>
      <c r="D143" s="1581"/>
      <c r="E143" s="1581"/>
      <c r="F143" s="1462" t="s">
        <v>387</v>
      </c>
      <c r="G143" s="1463"/>
      <c r="H143" s="1463"/>
      <c r="I143" s="1464"/>
      <c r="J143" s="136">
        <f>2800000/67</f>
        <v>41791.044776119401</v>
      </c>
      <c r="K143" s="1594"/>
      <c r="L143" s="1597"/>
    </row>
    <row r="144" spans="1:12">
      <c r="A144" s="1574"/>
      <c r="B144" s="1575"/>
      <c r="C144" s="1576"/>
      <c r="D144" s="1581"/>
      <c r="E144" s="1581"/>
      <c r="F144" s="1459" t="s">
        <v>388</v>
      </c>
      <c r="G144" s="1460"/>
      <c r="H144" s="1460"/>
      <c r="I144" s="1461"/>
      <c r="J144" s="136">
        <f>1420000/67</f>
        <v>21194.029850746268</v>
      </c>
      <c r="K144" s="1595"/>
      <c r="L144" s="1598"/>
    </row>
    <row r="145" spans="1:12" ht="16.5" thickBot="1">
      <c r="A145" s="1577"/>
      <c r="B145" s="1578"/>
      <c r="C145" s="1579"/>
      <c r="D145" s="1582"/>
      <c r="E145" s="1582"/>
      <c r="F145" s="1589"/>
      <c r="G145" s="1589"/>
      <c r="H145" s="1589"/>
      <c r="I145" s="1589"/>
      <c r="J145" s="137">
        <f>SUM(J136:J144)</f>
        <v>1012977.5522388059</v>
      </c>
      <c r="K145" s="137">
        <f t="shared" ref="K145:L145" si="2">SUM(K136:K140)</f>
        <v>280395.55223880598</v>
      </c>
      <c r="L145" s="137">
        <f t="shared" si="2"/>
        <v>298035.85074626864</v>
      </c>
    </row>
    <row r="146" spans="1:12" ht="19.5" thickBot="1">
      <c r="A146" s="1564" t="s">
        <v>389</v>
      </c>
      <c r="B146" s="1564"/>
      <c r="C146" s="1564"/>
      <c r="D146" s="1564"/>
      <c r="E146" s="1564"/>
      <c r="F146" s="1564"/>
      <c r="G146" s="1564"/>
      <c r="H146" s="1564"/>
      <c r="I146" s="1564"/>
      <c r="J146" s="1564"/>
      <c r="K146" s="1564"/>
      <c r="L146" s="1564"/>
    </row>
    <row r="147" spans="1:12" ht="15" customHeight="1">
      <c r="A147" s="1590" t="s">
        <v>390</v>
      </c>
      <c r="B147" s="1591"/>
      <c r="C147" s="1591"/>
      <c r="D147" s="1591"/>
      <c r="E147" s="1592"/>
      <c r="F147" s="1566" t="s">
        <v>391</v>
      </c>
      <c r="G147" s="1566"/>
      <c r="H147" s="1566"/>
      <c r="I147" s="1566"/>
      <c r="J147" s="1566"/>
      <c r="K147" s="1566"/>
      <c r="L147" s="1567"/>
    </row>
    <row r="148" spans="1:12">
      <c r="A148" s="1458" t="s">
        <v>392</v>
      </c>
      <c r="B148" s="1458"/>
      <c r="C148" s="1458"/>
      <c r="D148" s="1458"/>
      <c r="E148" s="1458"/>
      <c r="F148" s="1458" t="s">
        <v>393</v>
      </c>
      <c r="G148" s="1458"/>
      <c r="H148" s="1458"/>
      <c r="I148" s="1458"/>
      <c r="J148" s="1458"/>
      <c r="K148" s="1458"/>
      <c r="L148" s="1473"/>
    </row>
    <row r="149" spans="1:12">
      <c r="A149" s="1459" t="s">
        <v>394</v>
      </c>
      <c r="B149" s="1460"/>
      <c r="C149" s="1460"/>
      <c r="D149" s="1460"/>
      <c r="E149" s="1461"/>
      <c r="F149" s="1458" t="s">
        <v>395</v>
      </c>
      <c r="G149" s="1458"/>
      <c r="H149" s="1458"/>
      <c r="I149" s="1458"/>
      <c r="J149" s="1458"/>
      <c r="K149" s="1458"/>
      <c r="L149" s="1473"/>
    </row>
    <row r="150" spans="1:12">
      <c r="A150" s="1458" t="s">
        <v>396</v>
      </c>
      <c r="B150" s="1458"/>
      <c r="C150" s="1458"/>
      <c r="D150" s="1458"/>
      <c r="E150" s="1458"/>
      <c r="F150" s="1458" t="s">
        <v>396</v>
      </c>
      <c r="G150" s="1458"/>
      <c r="H150" s="1458"/>
      <c r="I150" s="1458"/>
      <c r="J150" s="1458"/>
      <c r="K150" s="1458"/>
      <c r="L150" s="1473"/>
    </row>
    <row r="151" spans="1:12" ht="15" customHeight="1">
      <c r="A151" s="1458" t="s">
        <v>397</v>
      </c>
      <c r="B151" s="1458"/>
      <c r="C151" s="1458"/>
      <c r="D151" s="1458"/>
      <c r="E151" s="1458"/>
      <c r="F151" s="1458" t="s">
        <v>398</v>
      </c>
      <c r="G151" s="1458"/>
      <c r="H151" s="1458"/>
      <c r="I151" s="1458"/>
      <c r="J151" s="1458"/>
      <c r="K151" s="1458"/>
      <c r="L151" s="1473"/>
    </row>
    <row r="152" spans="1:12" ht="15.75" thickBot="1">
      <c r="A152" s="1474"/>
      <c r="B152" s="1475"/>
      <c r="C152" s="1475"/>
      <c r="D152" s="1475"/>
      <c r="E152" s="1475"/>
      <c r="F152" s="1474" t="s">
        <v>399</v>
      </c>
      <c r="G152" s="1475"/>
      <c r="H152" s="1475"/>
      <c r="I152" s="1475"/>
      <c r="J152" s="1475"/>
      <c r="K152" s="1475"/>
      <c r="L152" s="1476"/>
    </row>
    <row r="153" spans="1:12" ht="19.5" thickBot="1">
      <c r="A153" s="1477" t="s">
        <v>400</v>
      </c>
      <c r="B153" s="1477"/>
      <c r="C153" s="1477"/>
      <c r="D153" s="1477"/>
      <c r="E153" s="1477"/>
      <c r="F153" s="1477"/>
      <c r="G153" s="1477"/>
      <c r="H153" s="1477"/>
      <c r="I153" s="1477"/>
      <c r="J153" s="1477"/>
      <c r="K153" s="1477"/>
      <c r="L153" s="1477"/>
    </row>
    <row r="154" spans="1:12" ht="15.75">
      <c r="A154" s="1478" t="s">
        <v>401</v>
      </c>
      <c r="B154" s="1479"/>
      <c r="C154" s="1479"/>
      <c r="D154" s="1479"/>
      <c r="E154" s="1479"/>
      <c r="F154" s="1543" t="s">
        <v>402</v>
      </c>
      <c r="G154" s="1544"/>
      <c r="H154" s="1544"/>
      <c r="I154" s="1544"/>
      <c r="J154" s="1544"/>
      <c r="K154" s="1544"/>
      <c r="L154" s="1545"/>
    </row>
    <row r="155" spans="1:12" ht="25.5">
      <c r="A155" s="1548" t="s">
        <v>297</v>
      </c>
      <c r="B155" s="1549" t="s">
        <v>372</v>
      </c>
      <c r="C155" s="1550"/>
      <c r="D155" s="1550"/>
      <c r="E155" s="1549" t="s">
        <v>403</v>
      </c>
      <c r="F155" s="1551" t="s">
        <v>404</v>
      </c>
      <c r="G155" s="1551"/>
      <c r="H155" s="216" t="s">
        <v>405</v>
      </c>
      <c r="I155" s="216" t="s">
        <v>406</v>
      </c>
      <c r="J155" s="1546" t="s">
        <v>407</v>
      </c>
      <c r="K155" s="1546"/>
      <c r="L155" s="1547"/>
    </row>
    <row r="156" spans="1:12" ht="25.5">
      <c r="A156" s="1548"/>
      <c r="B156" s="1550"/>
      <c r="C156" s="1550"/>
      <c r="D156" s="1550"/>
      <c r="E156" s="1549"/>
      <c r="F156" s="216" t="s">
        <v>408</v>
      </c>
      <c r="G156" s="216" t="s">
        <v>409</v>
      </c>
      <c r="H156" s="139">
        <v>1395</v>
      </c>
      <c r="I156" s="217">
        <v>1395</v>
      </c>
      <c r="J156" s="217">
        <v>1396</v>
      </c>
      <c r="K156" s="217">
        <v>1397</v>
      </c>
      <c r="L156" s="218">
        <v>1398</v>
      </c>
    </row>
    <row r="157" spans="1:12" ht="15" customHeight="1">
      <c r="A157" s="142">
        <v>22</v>
      </c>
      <c r="B157" s="1552"/>
      <c r="C157" s="1553"/>
      <c r="D157" s="1554"/>
      <c r="E157" s="1558"/>
      <c r="F157" s="143">
        <v>0</v>
      </c>
      <c r="G157" s="143">
        <f>21687000/67</f>
        <v>323686.56716417911</v>
      </c>
      <c r="H157" s="144">
        <v>0.4</v>
      </c>
      <c r="I157" s="143">
        <f>21687000/67</f>
        <v>323686.56716417911</v>
      </c>
      <c r="J157" s="143">
        <f>19673496/67</f>
        <v>293634.26865671639</v>
      </c>
      <c r="K157" s="145">
        <f>J200</f>
        <v>300395.55223880603</v>
      </c>
      <c r="L157" s="146">
        <f>K200</f>
        <v>323035.85074626876</v>
      </c>
    </row>
    <row r="158" spans="1:12">
      <c r="A158" s="142">
        <v>25</v>
      </c>
      <c r="B158" s="1555"/>
      <c r="C158" s="1556"/>
      <c r="D158" s="1557"/>
      <c r="E158" s="1559"/>
      <c r="F158" s="143">
        <v>0</v>
      </c>
      <c r="G158" s="143">
        <f>363000/67</f>
        <v>5417.9104477611936</v>
      </c>
      <c r="H158" s="144">
        <v>1</v>
      </c>
      <c r="I158" s="143">
        <f>363000/67</f>
        <v>5417.9104477611936</v>
      </c>
      <c r="J158" s="143">
        <f>48196000/67</f>
        <v>719343.28358208959</v>
      </c>
      <c r="K158" s="145"/>
      <c r="L158" s="146"/>
    </row>
    <row r="159" spans="1:12" ht="18.75" thickBot="1">
      <c r="A159" s="1560" t="s">
        <v>410</v>
      </c>
      <c r="B159" s="1561"/>
      <c r="C159" s="1561"/>
      <c r="D159" s="1561"/>
      <c r="E159" s="1562"/>
      <c r="F159" s="147">
        <f t="shared" ref="F159:L159" si="3">SUM(F157:F158)</f>
        <v>0</v>
      </c>
      <c r="G159" s="147">
        <f t="shared" si="3"/>
        <v>329104.4776119403</v>
      </c>
      <c r="H159" s="148">
        <f>SUM(H157:H158)</f>
        <v>1.4</v>
      </c>
      <c r="I159" s="147">
        <f>SUM(I157:I158)</f>
        <v>329104.4776119403</v>
      </c>
      <c r="J159" s="147">
        <f t="shared" si="3"/>
        <v>1012977.5522388059</v>
      </c>
      <c r="K159" s="147">
        <f t="shared" si="3"/>
        <v>300395.55223880603</v>
      </c>
      <c r="L159" s="149">
        <f t="shared" si="3"/>
        <v>323035.85074626876</v>
      </c>
    </row>
    <row r="160" spans="1:12" ht="18.75">
      <c r="A160" s="1470" t="s">
        <v>411</v>
      </c>
      <c r="B160" s="1470"/>
      <c r="C160" s="1470"/>
      <c r="D160" s="1470"/>
      <c r="E160" s="1470"/>
      <c r="F160" s="1470"/>
      <c r="G160" s="1470"/>
      <c r="H160" s="1470"/>
      <c r="I160" s="1470"/>
      <c r="J160" s="1470"/>
      <c r="K160" s="1470"/>
      <c r="L160" s="1470"/>
    </row>
    <row r="161" spans="1:12">
      <c r="A161" s="2"/>
      <c r="B161" s="2"/>
      <c r="C161" s="1471"/>
      <c r="D161" s="1471"/>
      <c r="E161" s="1471"/>
      <c r="F161" s="2"/>
      <c r="G161" s="1471"/>
      <c r="H161" s="1471"/>
      <c r="I161" s="1471"/>
      <c r="J161" s="2"/>
      <c r="K161" s="2"/>
      <c r="L161" s="2"/>
    </row>
    <row r="162" spans="1:12" ht="15.75">
      <c r="A162" s="1467" t="s">
        <v>88</v>
      </c>
      <c r="B162" s="1467" t="s">
        <v>412</v>
      </c>
      <c r="C162" s="1540" t="s">
        <v>413</v>
      </c>
      <c r="D162" s="1541"/>
      <c r="E162" s="1541"/>
      <c r="F162" s="1542"/>
      <c r="G162" s="1472" t="s">
        <v>414</v>
      </c>
      <c r="H162" s="1472"/>
      <c r="I162" s="1472"/>
      <c r="J162" s="1465" t="s">
        <v>415</v>
      </c>
      <c r="K162" s="1465" t="s">
        <v>416</v>
      </c>
      <c r="L162" s="1467"/>
    </row>
    <row r="163" spans="1:12" ht="31.5">
      <c r="A163" s="1468"/>
      <c r="B163" s="1468"/>
      <c r="C163" s="1469" t="s">
        <v>417</v>
      </c>
      <c r="D163" s="1469"/>
      <c r="E163" s="214" t="s">
        <v>418</v>
      </c>
      <c r="F163" s="151" t="s">
        <v>190</v>
      </c>
      <c r="G163" s="152" t="s">
        <v>419</v>
      </c>
      <c r="H163" s="152" t="s">
        <v>420</v>
      </c>
      <c r="I163" s="152" t="s">
        <v>190</v>
      </c>
      <c r="J163" s="1466"/>
      <c r="K163" s="1466"/>
      <c r="L163" s="1468"/>
    </row>
    <row r="164" spans="1:12" ht="15.75">
      <c r="A164" s="207">
        <v>1</v>
      </c>
      <c r="B164" s="208" t="s">
        <v>37</v>
      </c>
      <c r="C164" s="1539">
        <f>514000/67</f>
        <v>7671.6417910447763</v>
      </c>
      <c r="D164" s="1539"/>
      <c r="E164" s="153">
        <v>6965.2388059701489</v>
      </c>
      <c r="F164" s="154">
        <f t="shared" ref="F164:F198" si="4">E164+C164</f>
        <v>14636.880597014926</v>
      </c>
      <c r="G164" s="155">
        <v>0</v>
      </c>
      <c r="H164" s="212">
        <v>0</v>
      </c>
      <c r="I164" s="157">
        <f>G164+H164</f>
        <v>0</v>
      </c>
      <c r="J164" s="158">
        <v>20000</v>
      </c>
      <c r="K164" s="158">
        <v>25000</v>
      </c>
      <c r="L164" s="159"/>
    </row>
    <row r="165" spans="1:12" ht="15" customHeight="1">
      <c r="A165" s="207">
        <v>2</v>
      </c>
      <c r="B165" s="208" t="s">
        <v>421</v>
      </c>
      <c r="C165" s="1539">
        <v>0</v>
      </c>
      <c r="D165" s="1539"/>
      <c r="E165" s="212">
        <v>0</v>
      </c>
      <c r="F165" s="154">
        <f t="shared" si="4"/>
        <v>0</v>
      </c>
      <c r="G165" s="155">
        <v>0</v>
      </c>
      <c r="H165" s="212">
        <v>0</v>
      </c>
      <c r="I165" s="157">
        <f t="shared" ref="I165:I197" si="5">G165+H165</f>
        <v>0</v>
      </c>
      <c r="J165" s="158">
        <v>0</v>
      </c>
      <c r="K165" s="158">
        <v>0</v>
      </c>
      <c r="L165" s="159"/>
    </row>
    <row r="166" spans="1:12" ht="15.75">
      <c r="A166" s="207">
        <v>3</v>
      </c>
      <c r="B166" s="208" t="s">
        <v>204</v>
      </c>
      <c r="C166" s="1539">
        <v>0</v>
      </c>
      <c r="D166" s="1539"/>
      <c r="E166" s="212">
        <v>6383.0895522388064</v>
      </c>
      <c r="F166" s="154">
        <f t="shared" si="4"/>
        <v>6383.0895522388064</v>
      </c>
      <c r="G166" s="155">
        <v>6323.3880597014922</v>
      </c>
      <c r="H166" s="212">
        <v>0</v>
      </c>
      <c r="I166" s="157">
        <f t="shared" si="5"/>
        <v>6323.3880597014922</v>
      </c>
      <c r="J166" s="158">
        <v>4830.8507462686566</v>
      </c>
      <c r="K166" s="158">
        <v>4830.8507462686566</v>
      </c>
      <c r="L166" s="159"/>
    </row>
    <row r="167" spans="1:12" ht="15.75">
      <c r="A167" s="207">
        <v>4</v>
      </c>
      <c r="B167" s="208" t="s">
        <v>66</v>
      </c>
      <c r="C167" s="1539">
        <f>387030/67</f>
        <v>5776.5671641791041</v>
      </c>
      <c r="D167" s="1539"/>
      <c r="E167" s="212">
        <v>14248.313432835821</v>
      </c>
      <c r="F167" s="154">
        <f t="shared" si="4"/>
        <v>20024.880597014926</v>
      </c>
      <c r="G167" s="155">
        <v>18771.149253731342</v>
      </c>
      <c r="H167" s="212">
        <v>0</v>
      </c>
      <c r="I167" s="157">
        <f t="shared" si="5"/>
        <v>18771.149253731342</v>
      </c>
      <c r="J167" s="158">
        <v>17278.611940298506</v>
      </c>
      <c r="K167" s="158">
        <v>17278.611940298506</v>
      </c>
      <c r="L167" s="159"/>
    </row>
    <row r="168" spans="1:12" ht="15.75">
      <c r="A168" s="207">
        <v>5</v>
      </c>
      <c r="B168" s="208" t="s">
        <v>422</v>
      </c>
      <c r="C168" s="1539">
        <f>912420/67</f>
        <v>13618.208955223881</v>
      </c>
      <c r="D168" s="1539"/>
      <c r="E168" s="212">
        <v>1202.686567164179</v>
      </c>
      <c r="F168" s="154">
        <f t="shared" si="4"/>
        <v>14820.89552238806</v>
      </c>
      <c r="G168" s="155">
        <v>5522.3880597014922</v>
      </c>
      <c r="H168" s="212">
        <v>236656.71641791044</v>
      </c>
      <c r="I168" s="157">
        <f t="shared" si="5"/>
        <v>242179.10447761192</v>
      </c>
      <c r="J168" s="158">
        <v>7238.8059701492539</v>
      </c>
      <c r="K168" s="158">
        <v>7238.8059701492539</v>
      </c>
      <c r="L168" s="159"/>
    </row>
    <row r="169" spans="1:12" ht="15.75">
      <c r="A169" s="207">
        <v>6</v>
      </c>
      <c r="B169" s="208" t="s">
        <v>69</v>
      </c>
      <c r="C169" s="1539">
        <f>964000/67</f>
        <v>14388.059701492537</v>
      </c>
      <c r="D169" s="1539"/>
      <c r="E169" s="212">
        <v>5000</v>
      </c>
      <c r="F169" s="154">
        <f t="shared" si="4"/>
        <v>19388.059701492537</v>
      </c>
      <c r="G169" s="155">
        <v>18611.940298507463</v>
      </c>
      <c r="H169" s="212">
        <v>0</v>
      </c>
      <c r="I169" s="157">
        <f t="shared" si="5"/>
        <v>18611.940298507463</v>
      </c>
      <c r="J169" s="158">
        <v>17119.402985074626</v>
      </c>
      <c r="K169" s="158">
        <v>17119.402985074626</v>
      </c>
      <c r="L169" s="159"/>
    </row>
    <row r="170" spans="1:12" ht="15.75">
      <c r="A170" s="207">
        <v>7</v>
      </c>
      <c r="B170" s="208" t="s">
        <v>59</v>
      </c>
      <c r="C170" s="1539">
        <f>202667/67</f>
        <v>3024.8805970149256</v>
      </c>
      <c r="D170" s="1539"/>
      <c r="E170" s="212">
        <v>5000</v>
      </c>
      <c r="F170" s="154">
        <f t="shared" si="4"/>
        <v>8024.880597014926</v>
      </c>
      <c r="G170" s="155">
        <v>9995.0298507462685</v>
      </c>
      <c r="H170" s="212">
        <v>0</v>
      </c>
      <c r="I170" s="157">
        <f t="shared" si="5"/>
        <v>9995.0298507462685</v>
      </c>
      <c r="J170" s="158">
        <v>9398.0149253731342</v>
      </c>
      <c r="K170" s="158">
        <v>9398.0149253731342</v>
      </c>
      <c r="L170" s="159"/>
    </row>
    <row r="171" spans="1:12" ht="15.75">
      <c r="A171" s="207">
        <v>8</v>
      </c>
      <c r="B171" s="208" t="s">
        <v>31</v>
      </c>
      <c r="C171" s="1539">
        <v>0</v>
      </c>
      <c r="D171" s="1539"/>
      <c r="E171" s="212">
        <v>5082.0895522388064</v>
      </c>
      <c r="F171" s="154">
        <f t="shared" si="4"/>
        <v>5082.0895522388064</v>
      </c>
      <c r="G171" s="155">
        <v>0</v>
      </c>
      <c r="H171" s="212">
        <v>0</v>
      </c>
      <c r="I171" s="157">
        <f t="shared" si="5"/>
        <v>0</v>
      </c>
      <c r="J171" s="158">
        <v>5194.0298507462685</v>
      </c>
      <c r="K171" s="158">
        <v>5194.0298507462685</v>
      </c>
      <c r="L171" s="159"/>
    </row>
    <row r="172" spans="1:12" ht="15.75">
      <c r="A172" s="207">
        <v>9</v>
      </c>
      <c r="B172" s="208" t="s">
        <v>72</v>
      </c>
      <c r="C172" s="1539">
        <f>48500/67</f>
        <v>723.88059701492534</v>
      </c>
      <c r="D172" s="1539"/>
      <c r="E172" s="212">
        <v>3820.8955223880598</v>
      </c>
      <c r="F172" s="154">
        <f t="shared" si="4"/>
        <v>4544.7761194029854</v>
      </c>
      <c r="G172" s="155">
        <v>18604.4776119403</v>
      </c>
      <c r="H172" s="212">
        <v>0</v>
      </c>
      <c r="I172" s="157">
        <f t="shared" si="5"/>
        <v>18604.4776119403</v>
      </c>
      <c r="J172" s="158">
        <v>17111.940298507463</v>
      </c>
      <c r="K172" s="158">
        <v>17111.940298507463</v>
      </c>
      <c r="L172" s="159"/>
    </row>
    <row r="173" spans="1:12" ht="15.75">
      <c r="A173" s="207">
        <v>10</v>
      </c>
      <c r="B173" s="208" t="s">
        <v>73</v>
      </c>
      <c r="C173" s="1539">
        <f>255667/67</f>
        <v>3815.9253731343283</v>
      </c>
      <c r="D173" s="1539"/>
      <c r="E173" s="212">
        <v>4477.6119402985078</v>
      </c>
      <c r="F173" s="154">
        <f t="shared" si="4"/>
        <v>8293.5373134328365</v>
      </c>
      <c r="G173" s="155">
        <v>7032.3432835820895</v>
      </c>
      <c r="H173" s="212">
        <v>0</v>
      </c>
      <c r="I173" s="157">
        <f t="shared" si="5"/>
        <v>7032.3432835820895</v>
      </c>
      <c r="J173" s="158">
        <v>6584.5820895522384</v>
      </c>
      <c r="K173" s="158">
        <v>6584.5820895522384</v>
      </c>
      <c r="L173" s="159"/>
    </row>
    <row r="174" spans="1:12" ht="15.75">
      <c r="A174" s="207">
        <v>11</v>
      </c>
      <c r="B174" s="208" t="s">
        <v>58</v>
      </c>
      <c r="C174" s="1539">
        <f>571267/67</f>
        <v>8526.373134328358</v>
      </c>
      <c r="D174" s="1539"/>
      <c r="E174" s="212">
        <v>5417.9104477611936</v>
      </c>
      <c r="F174" s="154">
        <f t="shared" si="4"/>
        <v>13944.283582089553</v>
      </c>
      <c r="G174" s="155">
        <v>5123.3880597014922</v>
      </c>
      <c r="H174" s="212">
        <v>0</v>
      </c>
      <c r="I174" s="157">
        <f t="shared" si="5"/>
        <v>5123.3880597014922</v>
      </c>
      <c r="J174" s="158">
        <v>5272.6417910447763</v>
      </c>
      <c r="K174" s="158">
        <v>5272.6417910447763</v>
      </c>
      <c r="L174" s="159"/>
    </row>
    <row r="175" spans="1:12" ht="15.75">
      <c r="A175" s="207">
        <v>12</v>
      </c>
      <c r="B175" s="208" t="s">
        <v>53</v>
      </c>
      <c r="C175" s="1539">
        <f>444667/67</f>
        <v>6636.8208955223881</v>
      </c>
      <c r="D175" s="1539"/>
      <c r="E175" s="212">
        <v>4492.5373134328356</v>
      </c>
      <c r="F175" s="154">
        <f t="shared" si="4"/>
        <v>11129.358208955224</v>
      </c>
      <c r="G175" s="155">
        <v>18104.4776119403</v>
      </c>
      <c r="H175" s="212">
        <v>0</v>
      </c>
      <c r="I175" s="157">
        <f t="shared" si="5"/>
        <v>18104.4776119403</v>
      </c>
      <c r="J175" s="158">
        <v>16611.940298507463</v>
      </c>
      <c r="K175" s="158">
        <v>16611.940298507463</v>
      </c>
      <c r="L175" s="159"/>
    </row>
    <row r="176" spans="1:12" ht="15.75">
      <c r="A176" s="207">
        <v>13</v>
      </c>
      <c r="B176" s="208" t="s">
        <v>57</v>
      </c>
      <c r="C176" s="1539">
        <v>0</v>
      </c>
      <c r="D176" s="1539"/>
      <c r="E176" s="212">
        <v>10801</v>
      </c>
      <c r="F176" s="154">
        <f t="shared" si="4"/>
        <v>10801</v>
      </c>
      <c r="G176" s="155">
        <v>8592.0447761194027</v>
      </c>
      <c r="H176" s="212">
        <v>0</v>
      </c>
      <c r="I176" s="157">
        <f t="shared" si="5"/>
        <v>8592.0447761194027</v>
      </c>
      <c r="J176" s="158">
        <v>7099.5074626865671</v>
      </c>
      <c r="K176" s="158">
        <v>7099.5074626865671</v>
      </c>
      <c r="L176" s="159"/>
    </row>
    <row r="177" spans="1:12" ht="15.75">
      <c r="A177" s="207">
        <v>14</v>
      </c>
      <c r="B177" s="208" t="s">
        <v>63</v>
      </c>
      <c r="C177" s="1539">
        <f>150000/67</f>
        <v>2238.8059701492539</v>
      </c>
      <c r="D177" s="1539"/>
      <c r="E177" s="212">
        <v>2910.4477611940297</v>
      </c>
      <c r="F177" s="154">
        <f t="shared" si="4"/>
        <v>5149.253731343284</v>
      </c>
      <c r="G177" s="155">
        <v>4373.1343283582091</v>
      </c>
      <c r="H177" s="212">
        <v>5970.1492537313434</v>
      </c>
      <c r="I177" s="157">
        <f t="shared" si="5"/>
        <v>10343.283582089553</v>
      </c>
      <c r="J177" s="158">
        <v>5865.6716417910447</v>
      </c>
      <c r="K177" s="158">
        <v>5865.6716417910447</v>
      </c>
      <c r="L177" s="159"/>
    </row>
    <row r="178" spans="1:12" ht="15.75">
      <c r="A178" s="207">
        <v>15</v>
      </c>
      <c r="B178" s="208" t="s">
        <v>41</v>
      </c>
      <c r="C178" s="1539">
        <f>146800/67</f>
        <v>2191.0447761194032</v>
      </c>
      <c r="D178" s="1539"/>
      <c r="E178" s="212">
        <v>1900</v>
      </c>
      <c r="F178" s="154">
        <f t="shared" si="4"/>
        <v>4091.0447761194032</v>
      </c>
      <c r="G178" s="155">
        <v>0</v>
      </c>
      <c r="H178" s="212">
        <v>0</v>
      </c>
      <c r="I178" s="157">
        <f t="shared" si="5"/>
        <v>0</v>
      </c>
      <c r="J178" s="158">
        <v>0</v>
      </c>
      <c r="K178" s="158">
        <v>5149.253731343284</v>
      </c>
      <c r="L178" s="159"/>
    </row>
    <row r="179" spans="1:12" ht="15.75">
      <c r="A179" s="207">
        <v>16</v>
      </c>
      <c r="B179" s="208" t="s">
        <v>71</v>
      </c>
      <c r="C179" s="1539">
        <f>111000/67</f>
        <v>1656.7164179104477</v>
      </c>
      <c r="D179" s="1539"/>
      <c r="E179" s="212">
        <v>7099.5074626865671</v>
      </c>
      <c r="F179" s="154">
        <f t="shared" si="4"/>
        <v>8756.2238805970155</v>
      </c>
      <c r="G179" s="155">
        <v>6442.7910447761196</v>
      </c>
      <c r="H179" s="212">
        <v>0</v>
      </c>
      <c r="I179" s="157">
        <f t="shared" si="5"/>
        <v>6442.7910447761196</v>
      </c>
      <c r="J179" s="158">
        <v>4950.253731343284</v>
      </c>
      <c r="K179" s="158">
        <v>4950.253731343284</v>
      </c>
      <c r="L179" s="159"/>
    </row>
    <row r="180" spans="1:12" ht="15.75">
      <c r="A180" s="207">
        <v>17</v>
      </c>
      <c r="B180" s="208" t="s">
        <v>67</v>
      </c>
      <c r="C180" s="1539">
        <f>245000/67</f>
        <v>3656.7164179104479</v>
      </c>
      <c r="D180" s="1539"/>
      <c r="E180" s="212">
        <v>3741.2985074626868</v>
      </c>
      <c r="F180" s="154">
        <f t="shared" si="4"/>
        <v>7398.0149253731342</v>
      </c>
      <c r="G180" s="155">
        <v>6472.6417910447763</v>
      </c>
      <c r="H180" s="212">
        <v>0</v>
      </c>
      <c r="I180" s="157">
        <f t="shared" si="5"/>
        <v>6472.6417910447763</v>
      </c>
      <c r="J180" s="158">
        <v>4980.1044776119406</v>
      </c>
      <c r="K180" s="158">
        <v>4980.1044776119406</v>
      </c>
      <c r="L180" s="159"/>
    </row>
    <row r="181" spans="1:12" ht="15.75">
      <c r="A181" s="207">
        <v>18</v>
      </c>
      <c r="B181" s="208" t="s">
        <v>74</v>
      </c>
      <c r="C181" s="1539">
        <f>173500/67</f>
        <v>2589.5522388059703</v>
      </c>
      <c r="D181" s="1539"/>
      <c r="E181" s="212">
        <v>15415.417910447761</v>
      </c>
      <c r="F181" s="154">
        <f t="shared" si="4"/>
        <v>18004.970149253732</v>
      </c>
      <c r="G181" s="155">
        <v>23736.313432835821</v>
      </c>
      <c r="H181" s="212">
        <v>13432.835820895523</v>
      </c>
      <c r="I181" s="157">
        <f t="shared" si="5"/>
        <v>37169.149253731346</v>
      </c>
      <c r="J181" s="158">
        <v>22243.776119402984</v>
      </c>
      <c r="K181" s="158">
        <v>22243.776119402984</v>
      </c>
      <c r="L181" s="159"/>
    </row>
    <row r="182" spans="1:12" ht="15.75">
      <c r="A182" s="207">
        <v>19</v>
      </c>
      <c r="B182" s="208" t="s">
        <v>75</v>
      </c>
      <c r="C182" s="1539">
        <f>120000/67</f>
        <v>1791.044776119403</v>
      </c>
      <c r="D182" s="1539"/>
      <c r="E182" s="212">
        <v>4159</v>
      </c>
      <c r="F182" s="154">
        <f t="shared" si="4"/>
        <v>5950.0447761194027</v>
      </c>
      <c r="G182" s="155">
        <v>4059.7014925373132</v>
      </c>
      <c r="H182" s="212">
        <v>0</v>
      </c>
      <c r="I182" s="157">
        <f t="shared" si="5"/>
        <v>4059.7014925373132</v>
      </c>
      <c r="J182" s="158">
        <v>4208.9552238805973</v>
      </c>
      <c r="K182" s="158">
        <v>4208.9552238805973</v>
      </c>
      <c r="L182" s="159"/>
    </row>
    <row r="183" spans="1:12" ht="15.75">
      <c r="A183" s="207">
        <v>20</v>
      </c>
      <c r="B183" s="208" t="s">
        <v>32</v>
      </c>
      <c r="C183" s="1539">
        <f>169300/67</f>
        <v>2526.8656716417909</v>
      </c>
      <c r="D183" s="1539"/>
      <c r="E183" s="212">
        <v>5580.1044776119406</v>
      </c>
      <c r="F183" s="154">
        <f t="shared" si="4"/>
        <v>8106.9701492537315</v>
      </c>
      <c r="G183" s="155">
        <v>8345.7761194029845</v>
      </c>
      <c r="H183" s="212">
        <v>0</v>
      </c>
      <c r="I183" s="157">
        <f t="shared" si="5"/>
        <v>8345.7761194029845</v>
      </c>
      <c r="J183" s="158">
        <v>8196.5223880597023</v>
      </c>
      <c r="K183" s="158">
        <v>8196.5223880597023</v>
      </c>
      <c r="L183" s="159"/>
    </row>
    <row r="184" spans="1:12" ht="15.75">
      <c r="A184" s="207">
        <v>21</v>
      </c>
      <c r="B184" s="208" t="s">
        <v>35</v>
      </c>
      <c r="C184" s="1539">
        <v>0</v>
      </c>
      <c r="D184" s="1539"/>
      <c r="E184" s="212">
        <v>0</v>
      </c>
      <c r="F184" s="154">
        <f t="shared" si="4"/>
        <v>0</v>
      </c>
      <c r="G184" s="155">
        <v>0</v>
      </c>
      <c r="H184" s="212">
        <v>0</v>
      </c>
      <c r="I184" s="157">
        <f t="shared" si="5"/>
        <v>0</v>
      </c>
      <c r="J184" s="158">
        <v>0</v>
      </c>
      <c r="K184" s="158">
        <v>7147.7611940298511</v>
      </c>
      <c r="L184" s="159"/>
    </row>
    <row r="185" spans="1:12" ht="15.75">
      <c r="A185" s="207">
        <v>22</v>
      </c>
      <c r="B185" s="208" t="s">
        <v>205</v>
      </c>
      <c r="C185" s="1539">
        <v>0</v>
      </c>
      <c r="D185" s="1539"/>
      <c r="E185" s="212">
        <v>0</v>
      </c>
      <c r="F185" s="154">
        <f t="shared" si="4"/>
        <v>0</v>
      </c>
      <c r="G185" s="155">
        <v>0</v>
      </c>
      <c r="H185" s="212">
        <v>0</v>
      </c>
      <c r="I185" s="157">
        <f t="shared" si="5"/>
        <v>0</v>
      </c>
      <c r="J185" s="158">
        <v>0</v>
      </c>
      <c r="K185" s="158">
        <v>5343.2835820895525</v>
      </c>
      <c r="L185" s="159"/>
    </row>
    <row r="186" spans="1:12" ht="15.75">
      <c r="A186" s="207">
        <v>23</v>
      </c>
      <c r="B186" s="208" t="s">
        <v>78</v>
      </c>
      <c r="C186" s="1539">
        <f>190108/67</f>
        <v>2837.4328358208954</v>
      </c>
      <c r="D186" s="1539"/>
      <c r="E186" s="212">
        <v>5269.5373134328356</v>
      </c>
      <c r="F186" s="154">
        <f t="shared" si="4"/>
        <v>8106.9701492537315</v>
      </c>
      <c r="G186" s="155">
        <v>9487.567164179105</v>
      </c>
      <c r="H186" s="212">
        <v>0</v>
      </c>
      <c r="I186" s="157">
        <f t="shared" si="5"/>
        <v>9487.567164179105</v>
      </c>
      <c r="J186" s="158">
        <v>7845.7761194029854</v>
      </c>
      <c r="K186" s="158">
        <v>7845.7761194029854</v>
      </c>
      <c r="L186" s="159"/>
    </row>
    <row r="187" spans="1:12" ht="15.75">
      <c r="A187" s="207">
        <v>24</v>
      </c>
      <c r="B187" s="208" t="s">
        <v>206</v>
      </c>
      <c r="C187" s="1539">
        <f>150000/67</f>
        <v>2238.8059701492539</v>
      </c>
      <c r="D187" s="1539"/>
      <c r="E187" s="212">
        <v>925.37313432835822</v>
      </c>
      <c r="F187" s="154">
        <f t="shared" si="4"/>
        <v>3164.1791044776119</v>
      </c>
      <c r="G187" s="155">
        <v>7679.1044776119406</v>
      </c>
      <c r="H187" s="212">
        <v>10447.76119402985</v>
      </c>
      <c r="I187" s="157">
        <f t="shared" si="5"/>
        <v>18126.86567164179</v>
      </c>
      <c r="J187" s="158">
        <v>7679.1044776119406</v>
      </c>
      <c r="K187" s="158">
        <v>7679.1044776119406</v>
      </c>
      <c r="L187" s="159"/>
    </row>
    <row r="188" spans="1:12" ht="15.75">
      <c r="A188" s="207">
        <v>25</v>
      </c>
      <c r="B188" s="208" t="s">
        <v>79</v>
      </c>
      <c r="C188" s="1539">
        <v>0</v>
      </c>
      <c r="D188" s="1539"/>
      <c r="E188" s="212">
        <v>4216.4179104477616</v>
      </c>
      <c r="F188" s="154">
        <f t="shared" si="4"/>
        <v>4216.4179104477616</v>
      </c>
      <c r="G188" s="155">
        <v>5500</v>
      </c>
      <c r="H188" s="212">
        <v>10447.76119402985</v>
      </c>
      <c r="I188" s="157">
        <f t="shared" si="5"/>
        <v>15947.76119402985</v>
      </c>
      <c r="J188" s="158">
        <v>6992.5373134328356</v>
      </c>
      <c r="K188" s="158">
        <v>6992.5373134328356</v>
      </c>
      <c r="L188" s="159"/>
    </row>
    <row r="189" spans="1:12" ht="15.75">
      <c r="A189" s="207">
        <v>26</v>
      </c>
      <c r="B189" s="208" t="s">
        <v>80</v>
      </c>
      <c r="C189" s="1539">
        <f>168000/67</f>
        <v>2507.4626865671644</v>
      </c>
      <c r="D189" s="1539"/>
      <c r="E189" s="212">
        <v>955.16417910447763</v>
      </c>
      <c r="F189" s="154">
        <f t="shared" si="4"/>
        <v>3462.626865671642</v>
      </c>
      <c r="G189" s="155">
        <v>6268.5970149253735</v>
      </c>
      <c r="H189" s="212">
        <v>442388.05970149254</v>
      </c>
      <c r="I189" s="157">
        <f t="shared" si="5"/>
        <v>448656.65671641793</v>
      </c>
      <c r="J189" s="158">
        <v>6865.6119402985078</v>
      </c>
      <c r="K189" s="158">
        <v>6865.6119402985078</v>
      </c>
      <c r="L189" s="159"/>
    </row>
    <row r="190" spans="1:12" ht="15.75">
      <c r="A190" s="207">
        <v>27</v>
      </c>
      <c r="B190" s="208" t="s">
        <v>47</v>
      </c>
      <c r="C190" s="1539">
        <f>450000/67</f>
        <v>6716.4179104477616</v>
      </c>
      <c r="D190" s="1539"/>
      <c r="E190" s="212">
        <v>1630.8507462686566</v>
      </c>
      <c r="F190" s="154">
        <f t="shared" si="4"/>
        <v>8347.2686567164183</v>
      </c>
      <c r="G190" s="155">
        <v>9780.1044776119397</v>
      </c>
      <c r="H190" s="212">
        <v>0</v>
      </c>
      <c r="I190" s="157">
        <f t="shared" si="5"/>
        <v>9780.1044776119397</v>
      </c>
      <c r="J190" s="158">
        <v>9481.5970149253735</v>
      </c>
      <c r="K190" s="158">
        <v>9481.5970149253735</v>
      </c>
      <c r="L190" s="159"/>
    </row>
    <row r="191" spans="1:12" ht="15.75">
      <c r="A191" s="207">
        <v>28</v>
      </c>
      <c r="B191" s="208" t="s">
        <v>77</v>
      </c>
      <c r="C191" s="1539">
        <f>168500/67</f>
        <v>2514.9253731343283</v>
      </c>
      <c r="D191" s="1539"/>
      <c r="E191" s="212">
        <v>12606.970149253732</v>
      </c>
      <c r="F191" s="154">
        <f t="shared" si="4"/>
        <v>15121.89552238806</v>
      </c>
      <c r="G191" s="155">
        <v>12196.522388059702</v>
      </c>
      <c r="H191" s="212">
        <v>0</v>
      </c>
      <c r="I191" s="157">
        <f t="shared" si="5"/>
        <v>12196.522388059702</v>
      </c>
      <c r="J191" s="158">
        <v>10703.985074626866</v>
      </c>
      <c r="K191" s="158">
        <v>10703.985074626866</v>
      </c>
      <c r="L191" s="159"/>
    </row>
    <row r="192" spans="1:12" ht="15.75">
      <c r="A192" s="207">
        <v>29</v>
      </c>
      <c r="B192" s="208" t="s">
        <v>56</v>
      </c>
      <c r="C192" s="1539">
        <f>130560/67</f>
        <v>1948.6567164179105</v>
      </c>
      <c r="D192" s="1539"/>
      <c r="E192" s="212">
        <v>17979.208955223879</v>
      </c>
      <c r="F192" s="154">
        <f t="shared" si="4"/>
        <v>19927.86567164179</v>
      </c>
      <c r="G192" s="155">
        <v>6465.1791044776119</v>
      </c>
      <c r="H192" s="212">
        <v>0</v>
      </c>
      <c r="I192" s="157">
        <f t="shared" si="5"/>
        <v>6465.1791044776119</v>
      </c>
      <c r="J192" s="158">
        <v>6315.9253731343288</v>
      </c>
      <c r="K192" s="158">
        <v>6315.9253731343288</v>
      </c>
      <c r="L192" s="159"/>
    </row>
    <row r="193" spans="1:12" ht="15.75">
      <c r="A193" s="207">
        <v>30</v>
      </c>
      <c r="B193" s="208" t="s">
        <v>64</v>
      </c>
      <c r="C193" s="1539">
        <f>150000/67</f>
        <v>2238.8059701492539</v>
      </c>
      <c r="D193" s="1539"/>
      <c r="E193" s="212">
        <v>2216.4179104477612</v>
      </c>
      <c r="F193" s="154">
        <f t="shared" si="4"/>
        <v>4455.2238805970155</v>
      </c>
      <c r="G193" s="155">
        <v>4007.4626865671644</v>
      </c>
      <c r="H193" s="212">
        <v>0</v>
      </c>
      <c r="I193" s="157">
        <f t="shared" si="5"/>
        <v>4007.4626865671644</v>
      </c>
      <c r="J193" s="158">
        <v>4007.4626865671644</v>
      </c>
      <c r="K193" s="158">
        <v>4007.4626865671644</v>
      </c>
      <c r="L193" s="159"/>
    </row>
    <row r="194" spans="1:12" ht="15.75">
      <c r="A194" s="207">
        <v>31</v>
      </c>
      <c r="B194" s="208" t="s">
        <v>76</v>
      </c>
      <c r="C194" s="1539">
        <f>421667/67</f>
        <v>6293.5373134328356</v>
      </c>
      <c r="D194" s="1539"/>
      <c r="E194" s="212">
        <v>0</v>
      </c>
      <c r="F194" s="154">
        <f t="shared" si="4"/>
        <v>6293.5373134328356</v>
      </c>
      <c r="G194" s="155">
        <v>10442.791044776119</v>
      </c>
      <c r="H194" s="212">
        <v>0</v>
      </c>
      <c r="I194" s="157">
        <f t="shared" si="5"/>
        <v>10442.791044776119</v>
      </c>
      <c r="J194" s="158">
        <v>9696.5223880597023</v>
      </c>
      <c r="K194" s="158">
        <v>9696.5223880597023</v>
      </c>
      <c r="L194" s="159"/>
    </row>
    <row r="195" spans="1:12" ht="15.75">
      <c r="A195" s="207">
        <v>32</v>
      </c>
      <c r="B195" s="208" t="s">
        <v>65</v>
      </c>
      <c r="C195" s="1539">
        <f>160000/67</f>
        <v>2388.0597014925374</v>
      </c>
      <c r="D195" s="1539"/>
      <c r="E195" s="212">
        <v>6833.8358208955224</v>
      </c>
      <c r="F195" s="154">
        <f t="shared" si="4"/>
        <v>9221.8955223880603</v>
      </c>
      <c r="G195" s="155">
        <v>11559.208955223881</v>
      </c>
      <c r="H195" s="212">
        <v>0</v>
      </c>
      <c r="I195" s="157">
        <f t="shared" si="5"/>
        <v>11559.208955223881</v>
      </c>
      <c r="J195" s="158">
        <v>9768.1641791044767</v>
      </c>
      <c r="K195" s="158">
        <v>9768.1641791044767</v>
      </c>
      <c r="L195" s="159"/>
    </row>
    <row r="196" spans="1:12" ht="15.75">
      <c r="A196" s="207">
        <v>33</v>
      </c>
      <c r="B196" s="208" t="s">
        <v>62</v>
      </c>
      <c r="C196" s="1539">
        <f>287167/67</f>
        <v>4286.0746268656712</v>
      </c>
      <c r="D196" s="1539"/>
      <c r="E196" s="212">
        <v>3343.2835820895521</v>
      </c>
      <c r="F196" s="154">
        <f t="shared" si="4"/>
        <v>7629.3582089552237</v>
      </c>
      <c r="G196" s="155">
        <v>11062.194029850747</v>
      </c>
      <c r="H196" s="212">
        <v>0</v>
      </c>
      <c r="I196" s="157">
        <f t="shared" si="5"/>
        <v>11062.194029850747</v>
      </c>
      <c r="J196" s="158">
        <v>9569.6567164179105</v>
      </c>
      <c r="K196" s="158">
        <v>9569.6567164179105</v>
      </c>
      <c r="L196" s="159"/>
    </row>
    <row r="197" spans="1:12" ht="15.75">
      <c r="A197" s="207">
        <v>34</v>
      </c>
      <c r="B197" s="208" t="s">
        <v>60</v>
      </c>
      <c r="C197" s="1539">
        <f>15000/67</f>
        <v>223.88059701492537</v>
      </c>
      <c r="D197" s="1539"/>
      <c r="E197" s="212">
        <v>19137</v>
      </c>
      <c r="F197" s="154">
        <f t="shared" si="4"/>
        <v>19360.880597014926</v>
      </c>
      <c r="G197" s="155">
        <v>5599.5074626865671</v>
      </c>
      <c r="H197" s="212">
        <v>0</v>
      </c>
      <c r="I197" s="157">
        <f t="shared" si="5"/>
        <v>5599.5074626865671</v>
      </c>
      <c r="J197" s="158">
        <v>5450.253731343284</v>
      </c>
      <c r="K197" s="158">
        <v>5450.253731343284</v>
      </c>
      <c r="L197" s="159"/>
    </row>
    <row r="198" spans="1:12" ht="15.75">
      <c r="A198" s="207">
        <v>35</v>
      </c>
      <c r="B198" s="208" t="s">
        <v>70</v>
      </c>
      <c r="C198" s="1539">
        <f>103000/67</f>
        <v>1537.313432835821</v>
      </c>
      <c r="D198" s="1539"/>
      <c r="E198" s="212">
        <v>3651.7462686567164</v>
      </c>
      <c r="F198" s="154">
        <f t="shared" si="4"/>
        <v>5189.059701492537</v>
      </c>
      <c r="G198" s="155">
        <v>4412.940298507463</v>
      </c>
      <c r="H198" s="212">
        <v>0</v>
      </c>
      <c r="I198" s="157">
        <f>G198+H198</f>
        <v>4412.940298507463</v>
      </c>
      <c r="J198" s="158">
        <v>4263.686567164179</v>
      </c>
      <c r="K198" s="158">
        <v>4263.686567164179</v>
      </c>
      <c r="L198" s="159"/>
    </row>
    <row r="199" spans="1:12" ht="15.75">
      <c r="A199" s="207">
        <v>36</v>
      </c>
      <c r="B199" s="208" t="s">
        <v>34</v>
      </c>
      <c r="C199" s="1539">
        <f>1071167/67</f>
        <v>15987.567164179105</v>
      </c>
      <c r="D199" s="1539"/>
      <c r="E199" s="212">
        <v>4089.5522388059703</v>
      </c>
      <c r="F199" s="154">
        <f>E199+C199</f>
        <v>20077.119402985074</v>
      </c>
      <c r="G199" s="155">
        <v>19062.194029850747</v>
      </c>
      <c r="H199" s="212">
        <v>0</v>
      </c>
      <c r="I199" s="157">
        <f>G199+H199</f>
        <v>19062.194029850747</v>
      </c>
      <c r="J199" s="158">
        <v>17569.656716417911</v>
      </c>
      <c r="K199" s="158">
        <v>17569.656716417911</v>
      </c>
      <c r="L199" s="159"/>
    </row>
    <row r="200" spans="1:12" ht="15.75">
      <c r="A200" s="1507" t="s">
        <v>130</v>
      </c>
      <c r="B200" s="1508"/>
      <c r="C200" s="1520">
        <f>SUM(C164:D199)</f>
        <v>132552.04477611947</v>
      </c>
      <c r="D200" s="1521"/>
      <c r="E200" s="160">
        <f t="shared" ref="E200:K200" si="6">SUM(E164:E199)</f>
        <v>196552.5074626866</v>
      </c>
      <c r="F200" s="160">
        <f t="shared" si="6"/>
        <v>329104.55223880592</v>
      </c>
      <c r="G200" s="161">
        <f t="shared" si="6"/>
        <v>293634.35820895527</v>
      </c>
      <c r="H200" s="161">
        <f t="shared" si="6"/>
        <v>719343.28358208947</v>
      </c>
      <c r="I200" s="161">
        <f t="shared" si="6"/>
        <v>1012977.6417910446</v>
      </c>
      <c r="J200" s="161">
        <f t="shared" si="6"/>
        <v>300395.55223880603</v>
      </c>
      <c r="K200" s="161">
        <f t="shared" si="6"/>
        <v>323035.85074626876</v>
      </c>
      <c r="L200" s="162"/>
    </row>
    <row r="201" spans="1:12" ht="19.5" thickBot="1">
      <c r="A201" s="1477" t="s">
        <v>423</v>
      </c>
      <c r="B201" s="1477"/>
      <c r="C201" s="1477"/>
      <c r="D201" s="1477"/>
      <c r="E201" s="1477"/>
      <c r="F201" s="1477"/>
      <c r="G201" s="1477"/>
      <c r="H201" s="1477"/>
      <c r="I201" s="1477"/>
      <c r="J201" s="1477"/>
      <c r="K201" s="1477"/>
      <c r="L201" s="1477"/>
    </row>
    <row r="202" spans="1:12" ht="15.75">
      <c r="A202" s="1522" t="s">
        <v>424</v>
      </c>
      <c r="B202" s="1523"/>
      <c r="C202" s="1523"/>
      <c r="D202" s="1524"/>
      <c r="E202" s="1531" t="s">
        <v>425</v>
      </c>
      <c r="F202" s="1532"/>
      <c r="G202" s="1533" t="s">
        <v>426</v>
      </c>
      <c r="H202" s="1533"/>
      <c r="I202" s="1533"/>
      <c r="J202" s="1533"/>
      <c r="K202" s="1533"/>
      <c r="L202" s="1534"/>
    </row>
    <row r="203" spans="1:12" ht="15.75">
      <c r="A203" s="1525"/>
      <c r="B203" s="1526"/>
      <c r="C203" s="1526"/>
      <c r="D203" s="1527"/>
      <c r="E203" s="1535" t="s">
        <v>198</v>
      </c>
      <c r="F203" s="1536"/>
      <c r="G203" s="1537">
        <v>1396</v>
      </c>
      <c r="H203" s="1537"/>
      <c r="I203" s="1537">
        <v>1397</v>
      </c>
      <c r="J203" s="1537"/>
      <c r="K203" s="1536">
        <v>1398</v>
      </c>
      <c r="L203" s="1538"/>
    </row>
    <row r="204" spans="1:12" ht="15.75">
      <c r="A204" s="1528"/>
      <c r="B204" s="1529"/>
      <c r="C204" s="1529"/>
      <c r="D204" s="1530"/>
      <c r="E204" s="213" t="s">
        <v>427</v>
      </c>
      <c r="F204" s="209" t="s">
        <v>428</v>
      </c>
      <c r="G204" s="209" t="s">
        <v>427</v>
      </c>
      <c r="H204" s="209" t="s">
        <v>428</v>
      </c>
      <c r="I204" s="209" t="s">
        <v>427</v>
      </c>
      <c r="J204" s="210" t="s">
        <v>428</v>
      </c>
      <c r="K204" s="210" t="s">
        <v>427</v>
      </c>
      <c r="L204" s="211" t="s">
        <v>428</v>
      </c>
    </row>
    <row r="205" spans="1:12" ht="15.75" thickBot="1">
      <c r="A205" s="1517"/>
      <c r="B205" s="1518"/>
      <c r="C205" s="1518"/>
      <c r="D205" s="1519"/>
      <c r="E205" s="167"/>
      <c r="F205" s="167">
        <v>16</v>
      </c>
      <c r="G205" s="167"/>
      <c r="H205" s="167">
        <v>16</v>
      </c>
      <c r="I205" s="168"/>
      <c r="J205" s="167">
        <v>16</v>
      </c>
      <c r="K205" s="167"/>
      <c r="L205" s="169">
        <v>16</v>
      </c>
    </row>
    <row r="206" spans="1:12" ht="15" customHeight="1" thickBot="1">
      <c r="A206" s="1477" t="s">
        <v>429</v>
      </c>
      <c r="B206" s="1477"/>
      <c r="C206" s="1477"/>
      <c r="D206" s="1477"/>
      <c r="E206" s="1477"/>
      <c r="F206" s="1477"/>
      <c r="G206" s="1477"/>
      <c r="H206" s="1477"/>
      <c r="I206" s="1477"/>
      <c r="J206" s="1477"/>
      <c r="K206" s="1477"/>
      <c r="L206" s="1477"/>
    </row>
    <row r="207" spans="1:12" ht="15" customHeight="1">
      <c r="A207" s="1478" t="s">
        <v>430</v>
      </c>
      <c r="B207" s="1479"/>
      <c r="C207" s="1479"/>
      <c r="D207" s="1497" t="s">
        <v>431</v>
      </c>
      <c r="E207" s="1497"/>
      <c r="F207" s="1497"/>
      <c r="G207" s="1497"/>
      <c r="H207" s="1497"/>
      <c r="I207" s="1497"/>
      <c r="J207" s="1497"/>
      <c r="K207" s="1497"/>
      <c r="L207" s="1498"/>
    </row>
    <row r="208" spans="1:12" ht="15" customHeight="1">
      <c r="A208" s="1499" t="s">
        <v>432</v>
      </c>
      <c r="B208" s="1500"/>
      <c r="C208" s="1500"/>
      <c r="D208" s="1501" t="s">
        <v>433</v>
      </c>
      <c r="E208" s="1501"/>
      <c r="F208" s="1501"/>
      <c r="G208" s="1501"/>
      <c r="H208" s="1501"/>
      <c r="I208" s="1501"/>
      <c r="J208" s="1501"/>
      <c r="K208" s="1501"/>
      <c r="L208" s="1502"/>
    </row>
    <row r="209" spans="1:12" ht="15" customHeight="1" thickBot="1">
      <c r="A209" s="1503" t="s">
        <v>434</v>
      </c>
      <c r="B209" s="1504"/>
      <c r="C209" s="1504"/>
      <c r="D209" s="1505" t="s">
        <v>435</v>
      </c>
      <c r="E209" s="1505"/>
      <c r="F209" s="1505"/>
      <c r="G209" s="1505"/>
      <c r="H209" s="1505"/>
      <c r="I209" s="1505"/>
      <c r="J209" s="1505"/>
      <c r="K209" s="1505"/>
      <c r="L209" s="1506"/>
    </row>
    <row r="210" spans="1:12">
      <c r="A210" s="2"/>
      <c r="B210" s="2"/>
      <c r="C210" s="2"/>
      <c r="D210" s="2"/>
      <c r="E210" s="2"/>
      <c r="F210" s="2"/>
      <c r="G210" s="2"/>
      <c r="H210" s="2"/>
      <c r="I210" s="2"/>
      <c r="J210" s="2"/>
      <c r="K210" s="2"/>
      <c r="L210" s="2"/>
    </row>
    <row r="211" spans="1:12" ht="15" customHeight="1">
      <c r="A211" s="170"/>
      <c r="B211" s="170"/>
      <c r="C211" s="170"/>
      <c r="D211" s="170"/>
      <c r="E211" s="170"/>
      <c r="F211" s="170"/>
      <c r="G211" s="170"/>
      <c r="H211" s="1507" t="s">
        <v>337</v>
      </c>
      <c r="I211" s="1508"/>
      <c r="J211" s="1507" t="s">
        <v>436</v>
      </c>
      <c r="K211" s="1508"/>
      <c r="L211" s="2"/>
    </row>
    <row r="212" spans="1:12" ht="15" customHeight="1">
      <c r="A212" s="1493" t="s">
        <v>437</v>
      </c>
      <c r="B212" s="1493"/>
      <c r="C212" s="1493"/>
      <c r="D212" s="1493"/>
      <c r="E212" s="1493"/>
      <c r="F212" s="1493"/>
      <c r="G212" s="1493"/>
      <c r="H212" s="1515"/>
      <c r="I212" s="1516"/>
      <c r="J212" s="1509"/>
      <c r="K212" s="1510"/>
      <c r="L212" s="2"/>
    </row>
    <row r="213" spans="1:12" ht="15.75">
      <c r="A213" s="1493" t="s">
        <v>438</v>
      </c>
      <c r="B213" s="1493"/>
      <c r="C213" s="1493"/>
      <c r="D213" s="1493"/>
      <c r="E213" s="1493"/>
      <c r="F213" s="1493"/>
      <c r="G213" s="1493"/>
      <c r="H213" s="1511"/>
      <c r="I213" s="1512"/>
      <c r="J213" s="1513"/>
      <c r="K213" s="1514"/>
      <c r="L213" s="2"/>
    </row>
    <row r="214" spans="1:12" ht="15.75">
      <c r="A214" s="1493" t="s">
        <v>439</v>
      </c>
      <c r="B214" s="1493"/>
      <c r="C214" s="1493"/>
      <c r="D214" s="1493"/>
      <c r="E214" s="1493"/>
      <c r="F214" s="1493"/>
      <c r="G214" s="1493"/>
      <c r="H214" s="1494"/>
      <c r="I214" s="1495"/>
      <c r="J214" s="1495"/>
      <c r="K214" s="1496"/>
      <c r="L214" s="2"/>
    </row>
    <row r="215" spans="1:12" ht="15.75">
      <c r="A215" s="1493" t="s">
        <v>440</v>
      </c>
      <c r="B215" s="1493"/>
      <c r="C215" s="1493"/>
      <c r="D215" s="1493"/>
      <c r="E215" s="1493"/>
      <c r="F215" s="1493"/>
      <c r="G215" s="1493"/>
      <c r="H215" s="1511"/>
      <c r="I215" s="1512"/>
      <c r="J215" s="1513"/>
      <c r="K215" s="1514"/>
      <c r="L215" s="2"/>
    </row>
    <row r="216" spans="1:12" ht="15.75">
      <c r="A216" s="1493" t="s">
        <v>441</v>
      </c>
      <c r="B216" s="1493"/>
      <c r="C216" s="1493"/>
      <c r="D216" s="1493"/>
      <c r="E216" s="1493"/>
      <c r="F216" s="1493"/>
      <c r="G216" s="1493"/>
      <c r="H216" s="1494"/>
      <c r="I216" s="1495"/>
      <c r="J216" s="1495"/>
      <c r="K216" s="1496"/>
      <c r="L216" s="2"/>
    </row>
    <row r="217" spans="1:12">
      <c r="A217" s="1491" t="s">
        <v>223</v>
      </c>
      <c r="B217" s="1491"/>
      <c r="C217" s="1491"/>
      <c r="D217" s="1491"/>
      <c r="E217" s="1491"/>
      <c r="F217" s="1491"/>
      <c r="G217" s="1491"/>
      <c r="H217" s="1491"/>
      <c r="I217" s="1491"/>
    </row>
    <row r="218" spans="1:12">
      <c r="A218" s="1492" t="s">
        <v>224</v>
      </c>
      <c r="B218" s="1492"/>
      <c r="C218" s="1492"/>
      <c r="D218" s="1492"/>
      <c r="E218" s="1492"/>
      <c r="F218" s="1492"/>
      <c r="G218" s="1492"/>
      <c r="H218" s="1492"/>
      <c r="I218" s="1492"/>
    </row>
    <row r="219" spans="1:12">
      <c r="A219" s="1492"/>
      <c r="B219" s="1492"/>
      <c r="C219" s="1492"/>
      <c r="D219" s="1492"/>
      <c r="E219" s="1492"/>
      <c r="F219" s="1492"/>
      <c r="G219" s="1492"/>
      <c r="H219" s="1492"/>
      <c r="I219" s="1492"/>
    </row>
    <row r="220" spans="1:12">
      <c r="A220" s="1492"/>
      <c r="B220" s="1492"/>
      <c r="C220" s="1492"/>
      <c r="D220" s="1492"/>
      <c r="E220" s="1492"/>
      <c r="F220" s="1492"/>
      <c r="G220" s="1492"/>
      <c r="H220" s="1492"/>
      <c r="I220" s="1492"/>
    </row>
    <row r="221" spans="1:12">
      <c r="A221" s="1286"/>
      <c r="B221" s="1286"/>
      <c r="C221" s="1286"/>
      <c r="D221" s="1286"/>
      <c r="E221" s="1286"/>
      <c r="F221" s="1286"/>
      <c r="G221" s="1286"/>
      <c r="H221" s="1286"/>
      <c r="I221" s="1286"/>
    </row>
    <row r="222" spans="1:12">
      <c r="A222" s="1286"/>
      <c r="B222" s="1286"/>
      <c r="C222" s="1286"/>
      <c r="D222" s="1286"/>
      <c r="E222" s="1286"/>
      <c r="F222" s="1286"/>
      <c r="G222" s="1286"/>
      <c r="H222" s="1286"/>
      <c r="I222" s="1286"/>
    </row>
    <row r="223" spans="1:12">
      <c r="A223" s="1287" t="s">
        <v>225</v>
      </c>
      <c r="B223" s="1287"/>
      <c r="C223" s="1287"/>
      <c r="D223" s="1287"/>
      <c r="E223" s="1287"/>
      <c r="F223" s="1287"/>
      <c r="G223" s="1287"/>
      <c r="H223" s="1287"/>
      <c r="I223" s="1287"/>
    </row>
    <row r="224" spans="1:12">
      <c r="A224" s="1288" t="s">
        <v>226</v>
      </c>
      <c r="B224" s="1288"/>
      <c r="C224" s="200" t="s">
        <v>227</v>
      </c>
      <c r="D224" s="201" t="s">
        <v>228</v>
      </c>
      <c r="E224" s="1289" t="s">
        <v>229</v>
      </c>
      <c r="F224" s="1289"/>
      <c r="G224" s="200"/>
      <c r="H224" s="200" t="s">
        <v>156</v>
      </c>
      <c r="I224" s="200" t="s">
        <v>181</v>
      </c>
    </row>
    <row r="225" spans="1:9" ht="36.75">
      <c r="A225" s="1305" t="s">
        <v>230</v>
      </c>
      <c r="B225" s="1305"/>
      <c r="C225" s="50" t="s">
        <v>4</v>
      </c>
      <c r="D225" s="51" t="s">
        <v>231</v>
      </c>
      <c r="E225" s="1306" t="s">
        <v>160</v>
      </c>
      <c r="F225" s="1307"/>
      <c r="G225" s="202"/>
      <c r="H225" s="50">
        <v>700007218</v>
      </c>
      <c r="I225" s="52"/>
    </row>
    <row r="226" spans="1:9">
      <c r="A226" s="1294"/>
      <c r="B226" s="1294"/>
      <c r="C226" s="1294"/>
      <c r="D226" s="1294"/>
      <c r="E226" s="1294"/>
      <c r="F226" s="1294"/>
      <c r="G226" s="1294"/>
      <c r="H226" s="1294"/>
      <c r="I226" s="1294"/>
    </row>
    <row r="227" spans="1:9">
      <c r="A227" s="1295" t="s">
        <v>502</v>
      </c>
      <c r="B227" s="1295"/>
      <c r="C227" s="1295"/>
      <c r="D227" s="1295"/>
      <c r="E227" s="1295"/>
      <c r="F227" s="1295"/>
      <c r="G227" s="1295"/>
      <c r="H227" s="1295"/>
      <c r="I227" s="1295"/>
    </row>
    <row r="228" spans="1:9">
      <c r="A228" s="1490" t="s">
        <v>226</v>
      </c>
      <c r="B228" s="1490"/>
      <c r="C228" s="1490" t="s">
        <v>232</v>
      </c>
      <c r="D228" s="1490"/>
      <c r="E228" s="53" t="s">
        <v>233</v>
      </c>
      <c r="F228" s="54"/>
      <c r="G228" s="55"/>
      <c r="H228" s="55"/>
      <c r="I228" s="55"/>
    </row>
    <row r="229" spans="1:9">
      <c r="A229" s="1480" t="s">
        <v>234</v>
      </c>
      <c r="B229" s="1480"/>
      <c r="C229" s="1185" t="s">
        <v>235</v>
      </c>
      <c r="D229" s="1185"/>
      <c r="E229" s="56"/>
      <c r="F229" s="203"/>
      <c r="G229" s="197"/>
      <c r="H229" s="197"/>
      <c r="I229" s="197"/>
    </row>
    <row r="230" spans="1:9">
      <c r="A230" s="1041" t="s">
        <v>120</v>
      </c>
      <c r="B230" s="1041"/>
      <c r="C230" s="1486" t="s">
        <v>236</v>
      </c>
      <c r="D230" s="1486"/>
      <c r="E230" s="56"/>
      <c r="F230" s="203"/>
      <c r="G230" s="197"/>
      <c r="H230" s="197"/>
      <c r="I230" s="197"/>
    </row>
    <row r="231" spans="1:9">
      <c r="A231" s="1041" t="s">
        <v>237</v>
      </c>
      <c r="B231" s="1041"/>
      <c r="C231" s="1486" t="s">
        <v>238</v>
      </c>
      <c r="D231" s="1486"/>
      <c r="E231" s="56"/>
      <c r="F231" s="204"/>
      <c r="G231" s="197"/>
      <c r="H231" s="197"/>
      <c r="I231" s="197"/>
    </row>
    <row r="232" spans="1:9">
      <c r="A232" s="1041" t="s">
        <v>121</v>
      </c>
      <c r="B232" s="1041"/>
      <c r="C232" s="1486" t="s">
        <v>123</v>
      </c>
      <c r="D232" s="1486"/>
      <c r="E232" s="56"/>
      <c r="F232" s="204"/>
      <c r="G232" s="197"/>
      <c r="H232" s="197"/>
      <c r="I232" s="197"/>
    </row>
    <row r="233" spans="1:9">
      <c r="A233" s="1295" t="s">
        <v>503</v>
      </c>
      <c r="B233" s="1295"/>
      <c r="C233" s="1295"/>
      <c r="D233" s="1295"/>
      <c r="E233" s="1295"/>
      <c r="F233" s="1295"/>
      <c r="G233" s="1295"/>
      <c r="H233" s="1295"/>
      <c r="I233" s="1295"/>
    </row>
    <row r="234" spans="1:9">
      <c r="A234" s="1480" t="s">
        <v>239</v>
      </c>
      <c r="B234" s="1480"/>
      <c r="C234" s="1185" t="s">
        <v>240</v>
      </c>
      <c r="D234" s="1185"/>
      <c r="E234" s="199"/>
      <c r="F234" s="199"/>
      <c r="G234" s="199"/>
      <c r="H234" s="199"/>
      <c r="I234" s="199"/>
    </row>
    <row r="235" spans="1:9">
      <c r="A235" s="1480" t="s">
        <v>241</v>
      </c>
      <c r="B235" s="1480"/>
      <c r="C235" s="1185" t="s">
        <v>242</v>
      </c>
      <c r="D235" s="1185"/>
      <c r="E235" s="199"/>
      <c r="F235" s="199"/>
      <c r="G235" s="199"/>
      <c r="H235" s="199"/>
      <c r="I235" s="199"/>
    </row>
    <row r="236" spans="1:9">
      <c r="A236" s="199" t="s">
        <v>124</v>
      </c>
      <c r="B236" s="199"/>
      <c r="C236" s="1487" t="s">
        <v>125</v>
      </c>
      <c r="D236" s="1488"/>
      <c r="E236" s="199"/>
      <c r="F236" s="199"/>
      <c r="G236" s="199"/>
      <c r="H236" s="199"/>
      <c r="I236" s="199"/>
    </row>
    <row r="237" spans="1:9">
      <c r="A237" s="1489" t="s">
        <v>326</v>
      </c>
      <c r="B237" s="1489"/>
      <c r="C237" s="1489"/>
      <c r="D237" s="1489"/>
      <c r="E237" s="1489"/>
      <c r="F237" s="1489"/>
      <c r="G237" s="1489"/>
      <c r="H237" s="1489"/>
      <c r="I237" s="1489"/>
    </row>
    <row r="238" spans="1:9">
      <c r="A238" s="1480" t="s">
        <v>230</v>
      </c>
      <c r="B238" s="1480"/>
      <c r="C238" s="1185" t="s">
        <v>327</v>
      </c>
      <c r="D238" s="1185"/>
      <c r="E238" s="199"/>
      <c r="F238" s="199"/>
      <c r="G238" s="199"/>
      <c r="H238" s="199"/>
      <c r="I238" s="199"/>
    </row>
    <row r="239" spans="1:9">
      <c r="A239" s="57" t="s">
        <v>243</v>
      </c>
      <c r="B239" s="57"/>
      <c r="C239" s="57"/>
      <c r="D239" s="58"/>
      <c r="E239" s="57" t="s">
        <v>243</v>
      </c>
      <c r="G239" s="1481" t="s">
        <v>244</v>
      </c>
      <c r="H239" s="1481"/>
      <c r="I239" s="1"/>
    </row>
    <row r="240" spans="1:9">
      <c r="A240" s="1482" t="s">
        <v>314</v>
      </c>
      <c r="B240" s="1482"/>
      <c r="C240" s="59"/>
      <c r="D240" s="60"/>
      <c r="E240" s="198" t="s">
        <v>328</v>
      </c>
      <c r="G240" s="1483" t="s">
        <v>317</v>
      </c>
      <c r="H240" s="1483"/>
      <c r="I240" s="1"/>
    </row>
    <row r="241" spans="1:9">
      <c r="A241" s="1484" t="s">
        <v>315</v>
      </c>
      <c r="B241" s="1482"/>
      <c r="C241" s="62"/>
      <c r="D241" s="62"/>
      <c r="E241" s="61" t="s">
        <v>329</v>
      </c>
      <c r="G241" s="1485" t="s">
        <v>318</v>
      </c>
      <c r="H241" s="1485"/>
      <c r="I241" s="62"/>
    </row>
    <row r="242" spans="1:9">
      <c r="A242" s="7"/>
      <c r="B242" s="7"/>
      <c r="C242" s="7"/>
      <c r="D242" s="7"/>
      <c r="E242" s="7"/>
      <c r="F242" s="7"/>
      <c r="G242" s="7"/>
      <c r="H242" s="7"/>
      <c r="I242" s="7"/>
    </row>
    <row r="244" spans="1:9">
      <c r="A244" s="1451"/>
      <c r="B244" s="1451"/>
      <c r="C244" s="1451"/>
      <c r="D244" s="1451"/>
      <c r="E244" s="1451"/>
      <c r="F244" s="1451"/>
      <c r="G244" s="1451"/>
      <c r="H244" s="1451"/>
      <c r="I244" s="1451"/>
    </row>
    <row r="245" spans="1:9">
      <c r="A245" s="1451"/>
      <c r="B245" s="1451"/>
      <c r="C245" s="1451"/>
      <c r="D245" s="1451"/>
      <c r="E245" s="1451"/>
      <c r="F245" s="1451"/>
      <c r="G245" s="1451"/>
      <c r="H245" s="1451"/>
      <c r="I245" s="1451"/>
    </row>
    <row r="246" spans="1:9">
      <c r="A246" s="1451"/>
      <c r="B246" s="1451"/>
      <c r="C246" s="1451"/>
      <c r="D246" s="1451"/>
      <c r="E246" s="1451"/>
      <c r="F246" s="1451"/>
      <c r="G246" s="1451"/>
      <c r="H246" s="1451"/>
      <c r="I246" s="1451"/>
    </row>
    <row r="247" spans="1:9">
      <c r="A247" s="1451"/>
      <c r="B247" s="1451"/>
      <c r="C247" s="1451"/>
      <c r="D247" s="1451"/>
      <c r="E247" s="1451"/>
      <c r="F247" s="1451"/>
      <c r="G247" s="1451"/>
      <c r="H247" s="1451"/>
      <c r="I247" s="1451"/>
    </row>
    <row r="248" spans="1:9">
      <c r="A248" s="1451"/>
      <c r="B248" s="1451"/>
      <c r="C248" s="1451"/>
      <c r="D248" s="1451"/>
      <c r="E248" s="1451"/>
      <c r="F248" s="1451"/>
      <c r="G248" s="1451"/>
      <c r="H248" s="1451"/>
      <c r="I248" s="1451"/>
    </row>
    <row r="249" spans="1:9">
      <c r="A249" s="1451"/>
      <c r="B249" s="1451"/>
      <c r="C249" s="1451"/>
      <c r="D249" s="1451"/>
      <c r="E249" s="1451"/>
      <c r="F249" s="1451"/>
      <c r="G249" s="1451"/>
      <c r="H249" s="1451"/>
      <c r="I249" s="1451"/>
    </row>
    <row r="250" spans="1:9">
      <c r="A250" s="1452" t="s">
        <v>131</v>
      </c>
      <c r="B250" s="1452"/>
      <c r="C250" s="1452"/>
      <c r="D250" s="1452"/>
      <c r="E250" s="1452"/>
      <c r="F250" s="1452"/>
      <c r="G250" s="1452"/>
      <c r="H250" s="1452"/>
      <c r="I250" s="1452"/>
    </row>
    <row r="251" spans="1:9">
      <c r="A251" s="1452" t="s">
        <v>132</v>
      </c>
      <c r="B251" s="1452"/>
      <c r="C251" s="1452"/>
      <c r="D251" s="1452"/>
      <c r="E251" s="1452"/>
      <c r="F251" s="1452"/>
      <c r="G251" s="1452"/>
      <c r="H251" s="1452"/>
      <c r="I251" s="1452"/>
    </row>
    <row r="252" spans="1:9">
      <c r="A252" s="1452" t="s">
        <v>133</v>
      </c>
      <c r="B252" s="1452"/>
      <c r="C252" s="1452"/>
      <c r="D252" s="1452"/>
      <c r="E252" s="1452"/>
      <c r="F252" s="1452"/>
      <c r="G252" s="1452"/>
      <c r="H252" s="1452"/>
      <c r="I252" s="1452"/>
    </row>
    <row r="253" spans="1:9" ht="18">
      <c r="A253" s="1453" t="s">
        <v>134</v>
      </c>
      <c r="B253" s="1453"/>
      <c r="C253" s="1453"/>
      <c r="D253" s="1453"/>
      <c r="E253" s="1453"/>
      <c r="F253" s="1453"/>
      <c r="G253" s="1453"/>
      <c r="H253" s="1453"/>
      <c r="I253" s="1453"/>
    </row>
    <row r="254" spans="1:9" ht="18">
      <c r="A254" s="1454" t="s">
        <v>511</v>
      </c>
      <c r="B254" s="1455"/>
      <c r="C254" s="1455"/>
      <c r="D254" s="1453" t="s">
        <v>443</v>
      </c>
      <c r="E254" s="1453"/>
      <c r="F254" s="220"/>
      <c r="G254" s="220"/>
      <c r="H254" s="220"/>
      <c r="I254" s="220"/>
    </row>
    <row r="255" spans="1:9">
      <c r="A255" s="1427" t="s">
        <v>137</v>
      </c>
      <c r="B255" s="1427"/>
      <c r="C255" s="1427"/>
      <c r="D255" s="1427"/>
      <c r="E255" s="1427"/>
      <c r="F255" s="1427"/>
      <c r="G255" s="1427"/>
      <c r="H255" s="1427"/>
      <c r="I255" s="1427"/>
    </row>
    <row r="256" spans="1:9">
      <c r="A256" s="1447" t="s">
        <v>138</v>
      </c>
      <c r="B256" s="1447"/>
      <c r="C256" s="1456" t="s">
        <v>512</v>
      </c>
      <c r="D256" s="1457"/>
      <c r="E256" s="221"/>
      <c r="F256" s="221" t="s">
        <v>140</v>
      </c>
      <c r="G256" s="221" t="s">
        <v>141</v>
      </c>
      <c r="H256" s="221"/>
      <c r="I256" s="221" t="s">
        <v>142</v>
      </c>
    </row>
    <row r="257" spans="1:9">
      <c r="A257" s="1447" t="s">
        <v>143</v>
      </c>
      <c r="B257" s="1447"/>
      <c r="C257" s="1447"/>
      <c r="D257" s="1447"/>
      <c r="E257" s="1430"/>
      <c r="F257" s="1430"/>
      <c r="G257" s="1430"/>
      <c r="H257" s="1430"/>
      <c r="I257" s="1430"/>
    </row>
    <row r="258" spans="1:9">
      <c r="A258" s="1447" t="s">
        <v>144</v>
      </c>
      <c r="B258" s="1447"/>
      <c r="C258" s="1447"/>
      <c r="D258" s="1447"/>
      <c r="E258" s="1430"/>
      <c r="F258" s="1430"/>
      <c r="G258" s="1430"/>
      <c r="H258" s="1430"/>
      <c r="I258" s="1430"/>
    </row>
    <row r="259" spans="1:9">
      <c r="A259" s="1447" t="s">
        <v>145</v>
      </c>
      <c r="B259" s="1447"/>
      <c r="C259" s="1447"/>
      <c r="D259" s="1447"/>
      <c r="E259" s="1430"/>
      <c r="F259" s="1430"/>
      <c r="G259" s="1430"/>
      <c r="H259" s="1430"/>
      <c r="I259" s="1430"/>
    </row>
    <row r="260" spans="1:9">
      <c r="A260" s="1447" t="s">
        <v>146</v>
      </c>
      <c r="B260" s="1447"/>
      <c r="C260" s="1447"/>
      <c r="D260" s="1447"/>
      <c r="E260" s="1448"/>
      <c r="F260" s="1449"/>
      <c r="G260" s="1449"/>
      <c r="H260" s="1449"/>
      <c r="I260" s="1450"/>
    </row>
    <row r="261" spans="1:9">
      <c r="A261" s="1440" t="s">
        <v>513</v>
      </c>
      <c r="B261" s="1440"/>
      <c r="C261" s="1440"/>
      <c r="D261" s="1440"/>
      <c r="E261" s="1433" t="s">
        <v>334</v>
      </c>
      <c r="F261" s="1433"/>
      <c r="G261" s="1433"/>
      <c r="H261" s="1433"/>
      <c r="I261" s="1433"/>
    </row>
    <row r="262" spans="1:9">
      <c r="A262" s="1440" t="s">
        <v>514</v>
      </c>
      <c r="B262" s="1440"/>
      <c r="C262" s="1440"/>
      <c r="D262" s="1440"/>
      <c r="E262" s="1433" t="s">
        <v>335</v>
      </c>
      <c r="F262" s="1433"/>
      <c r="G262" s="1433"/>
      <c r="H262" s="1433"/>
      <c r="I262" s="1433"/>
    </row>
    <row r="263" spans="1:9">
      <c r="A263" s="1440" t="s">
        <v>147</v>
      </c>
      <c r="B263" s="1440"/>
      <c r="C263" s="1440"/>
      <c r="D263" s="1440"/>
      <c r="E263" s="1432"/>
      <c r="F263" s="1432"/>
      <c r="G263" s="1432"/>
      <c r="H263" s="1432"/>
      <c r="I263" s="1432"/>
    </row>
    <row r="264" spans="1:9">
      <c r="A264" s="1382" t="s">
        <v>148</v>
      </c>
      <c r="B264" s="1382"/>
      <c r="C264" s="1382"/>
      <c r="D264" s="1382"/>
      <c r="E264" s="1382"/>
      <c r="F264" s="1382"/>
      <c r="G264" s="1382"/>
      <c r="H264" s="1382"/>
      <c r="I264" s="1382"/>
    </row>
    <row r="265" spans="1:9">
      <c r="A265" s="1441" t="s">
        <v>515</v>
      </c>
      <c r="B265" s="1442"/>
      <c r="C265" s="1442"/>
      <c r="D265" s="1442"/>
      <c r="E265" s="1442"/>
      <c r="F265" s="1442"/>
      <c r="G265" s="1442"/>
      <c r="H265" s="1442"/>
      <c r="I265" s="1443"/>
    </row>
    <row r="266" spans="1:9">
      <c r="A266" s="1382" t="s">
        <v>150</v>
      </c>
      <c r="B266" s="1382"/>
      <c r="C266" s="1382"/>
      <c r="D266" s="1382"/>
      <c r="E266" s="1382"/>
      <c r="F266" s="1382"/>
      <c r="G266" s="1382"/>
      <c r="H266" s="1382"/>
      <c r="I266" s="1382"/>
    </row>
    <row r="267" spans="1:9">
      <c r="A267" s="1444" t="s">
        <v>516</v>
      </c>
      <c r="B267" s="1445"/>
      <c r="C267" s="1445"/>
      <c r="D267" s="1445"/>
      <c r="E267" s="1445"/>
      <c r="F267" s="1445"/>
      <c r="G267" s="1445"/>
      <c r="H267" s="1445"/>
      <c r="I267" s="1446"/>
    </row>
    <row r="268" spans="1:9">
      <c r="A268" s="1434" t="s">
        <v>517</v>
      </c>
      <c r="B268" s="1434"/>
      <c r="C268" s="1434"/>
      <c r="D268" s="1434"/>
      <c r="E268" s="1434"/>
      <c r="F268" s="1434"/>
      <c r="G268" s="1434"/>
      <c r="H268" s="1434"/>
      <c r="I268" s="1434"/>
    </row>
    <row r="269" spans="1:9">
      <c r="A269" s="1434" t="s">
        <v>153</v>
      </c>
      <c r="B269" s="1434"/>
      <c r="C269" s="222"/>
      <c r="D269" s="222"/>
      <c r="E269" s="222" t="s">
        <v>154</v>
      </c>
      <c r="F269" s="1435" t="s">
        <v>155</v>
      </c>
      <c r="G269" s="1435"/>
      <c r="H269" s="222"/>
      <c r="I269" s="222" t="s">
        <v>156</v>
      </c>
    </row>
    <row r="270" spans="1:9">
      <c r="A270" s="1432" t="s">
        <v>157</v>
      </c>
      <c r="B270" s="1432"/>
      <c r="C270" s="1436" t="s">
        <v>518</v>
      </c>
      <c r="D270" s="1436"/>
      <c r="E270" s="223" t="s">
        <v>519</v>
      </c>
      <c r="F270" s="1437" t="s">
        <v>520</v>
      </c>
      <c r="G270" s="1433"/>
      <c r="H270" s="224"/>
      <c r="I270" s="225">
        <v>799107362</v>
      </c>
    </row>
    <row r="271" spans="1:9">
      <c r="A271" s="1438" t="s">
        <v>161</v>
      </c>
      <c r="B271" s="1438"/>
      <c r="C271" s="1439">
        <f>E258</f>
        <v>0</v>
      </c>
      <c r="D271" s="1439"/>
      <c r="E271" s="226"/>
      <c r="F271" s="1433"/>
      <c r="G271" s="1433"/>
      <c r="H271" s="224"/>
      <c r="I271" s="227"/>
    </row>
    <row r="272" spans="1:9">
      <c r="A272" s="1432" t="s">
        <v>162</v>
      </c>
      <c r="B272" s="1432"/>
      <c r="C272" s="1433" t="s">
        <v>521</v>
      </c>
      <c r="D272" s="1433"/>
      <c r="E272" s="1433"/>
      <c r="F272" s="1433"/>
      <c r="G272" s="1433"/>
      <c r="H272" s="1433"/>
      <c r="I272" s="1433"/>
    </row>
    <row r="273" spans="1:9">
      <c r="A273" s="1432" t="s">
        <v>164</v>
      </c>
      <c r="B273" s="1432"/>
      <c r="C273" s="1432"/>
      <c r="D273" s="1432"/>
      <c r="E273" s="1433"/>
      <c r="F273" s="1433"/>
      <c r="G273" s="1433"/>
      <c r="H273" s="1433"/>
      <c r="I273" s="1433"/>
    </row>
    <row r="274" spans="1:9">
      <c r="A274" s="1380" t="s">
        <v>165</v>
      </c>
      <c r="B274" s="1380"/>
      <c r="C274" s="1380"/>
      <c r="D274" s="1380"/>
      <c r="E274" s="1371" t="s">
        <v>522</v>
      </c>
      <c r="F274" s="1372"/>
      <c r="G274" s="1372"/>
      <c r="H274" s="1372"/>
      <c r="I274" s="1373"/>
    </row>
    <row r="275" spans="1:9">
      <c r="A275" s="1380" t="s">
        <v>167</v>
      </c>
      <c r="B275" s="1380"/>
      <c r="C275" s="1380"/>
      <c r="D275" s="1380"/>
      <c r="E275" s="1380" t="s">
        <v>523</v>
      </c>
      <c r="F275" s="1380"/>
      <c r="G275" s="1380"/>
      <c r="H275" s="1380"/>
      <c r="I275" s="1380"/>
    </row>
    <row r="276" spans="1:9">
      <c r="A276" s="1380" t="s">
        <v>169</v>
      </c>
      <c r="B276" s="1380"/>
      <c r="C276" s="1380"/>
      <c r="D276" s="1380"/>
      <c r="E276" s="1380" t="s">
        <v>524</v>
      </c>
      <c r="F276" s="1380"/>
      <c r="G276" s="1380"/>
      <c r="H276" s="1380"/>
      <c r="I276" s="1380"/>
    </row>
    <row r="277" spans="1:9">
      <c r="A277" s="1380" t="s">
        <v>171</v>
      </c>
      <c r="B277" s="1380"/>
      <c r="C277" s="1380"/>
      <c r="D277" s="1380"/>
      <c r="E277" s="1380" t="s">
        <v>525</v>
      </c>
      <c r="F277" s="1380"/>
      <c r="G277" s="1380"/>
      <c r="H277" s="1380"/>
      <c r="I277" s="1380"/>
    </row>
    <row r="278" spans="1:9">
      <c r="A278" s="1382" t="s">
        <v>173</v>
      </c>
      <c r="B278" s="1382"/>
      <c r="C278" s="1382"/>
      <c r="D278" s="1382"/>
      <c r="E278" s="1382"/>
      <c r="F278" s="1382"/>
      <c r="G278" s="1382"/>
      <c r="H278" s="1382"/>
      <c r="I278" s="1382"/>
    </row>
    <row r="279" spans="1:9">
      <c r="A279" s="1425" t="s">
        <v>526</v>
      </c>
      <c r="B279" s="1426"/>
      <c r="C279" s="1426"/>
      <c r="D279" s="1426"/>
      <c r="E279" s="1426"/>
      <c r="F279" s="1426"/>
      <c r="G279" s="1426"/>
      <c r="H279" s="1426"/>
      <c r="I279" s="1426"/>
    </row>
    <row r="280" spans="1:9">
      <c r="A280" s="1427" t="s">
        <v>527</v>
      </c>
      <c r="B280" s="1427"/>
      <c r="C280" s="1427"/>
      <c r="D280" s="1427"/>
      <c r="E280" s="1427"/>
      <c r="F280" s="1427"/>
      <c r="G280" s="1427"/>
      <c r="H280" s="1427"/>
      <c r="I280" s="1427"/>
    </row>
    <row r="281" spans="1:9">
      <c r="A281" s="1428" t="s">
        <v>176</v>
      </c>
      <c r="B281" s="1430" t="s">
        <v>177</v>
      </c>
      <c r="C281" s="1430"/>
      <c r="D281" s="1430" t="s">
        <v>178</v>
      </c>
      <c r="E281" s="1430"/>
      <c r="F281" s="1430" t="s">
        <v>179</v>
      </c>
      <c r="G281" s="1430"/>
      <c r="H281" s="1430"/>
      <c r="I281" s="1430"/>
    </row>
    <row r="282" spans="1:9">
      <c r="A282" s="1429"/>
      <c r="B282" s="1430"/>
      <c r="C282" s="1430"/>
      <c r="D282" s="228" t="s">
        <v>180</v>
      </c>
      <c r="E282" s="228" t="s">
        <v>181</v>
      </c>
      <c r="F282" s="1430" t="s">
        <v>182</v>
      </c>
      <c r="G282" s="1430"/>
      <c r="H282" s="228"/>
      <c r="I282" s="228" t="s">
        <v>183</v>
      </c>
    </row>
    <row r="283" spans="1:9">
      <c r="A283" s="229">
        <f>D334</f>
        <v>670750</v>
      </c>
      <c r="B283" s="1431"/>
      <c r="C283" s="1431"/>
      <c r="D283" s="230"/>
      <c r="E283" s="227"/>
      <c r="F283" s="1431"/>
      <c r="G283" s="1431"/>
      <c r="H283" s="231"/>
      <c r="I283" s="229"/>
    </row>
    <row r="284" spans="1:9">
      <c r="A284" s="221" t="s">
        <v>184</v>
      </c>
      <c r="B284" s="1422" t="s">
        <v>528</v>
      </c>
      <c r="C284" s="1422"/>
      <c r="D284" s="232" t="s">
        <v>529</v>
      </c>
      <c r="E284" s="221" t="s">
        <v>530</v>
      </c>
      <c r="F284" s="1377" t="s">
        <v>531</v>
      </c>
      <c r="G284" s="1378"/>
      <c r="H284" s="1378"/>
      <c r="I284" s="1379"/>
    </row>
    <row r="285" spans="1:9">
      <c r="A285" s="1423" t="s">
        <v>187</v>
      </c>
      <c r="B285" s="1423"/>
      <c r="C285" s="1423"/>
      <c r="D285" s="1423" t="s">
        <v>188</v>
      </c>
      <c r="E285" s="1423"/>
      <c r="F285" s="1423"/>
      <c r="G285" s="1423"/>
      <c r="H285" s="1423"/>
      <c r="I285" s="1423"/>
    </row>
    <row r="286" spans="1:9">
      <c r="A286" s="1423"/>
      <c r="B286" s="1423"/>
      <c r="C286" s="1423"/>
      <c r="D286" s="233" t="s">
        <v>532</v>
      </c>
      <c r="E286" s="233" t="s">
        <v>533</v>
      </c>
      <c r="F286" s="233">
        <v>1398</v>
      </c>
      <c r="G286" s="233" t="s">
        <v>207</v>
      </c>
      <c r="H286" s="233"/>
      <c r="I286" s="233"/>
    </row>
    <row r="287" spans="1:9">
      <c r="A287" s="1424" t="s">
        <v>191</v>
      </c>
      <c r="B287" s="1424"/>
      <c r="C287" s="1424"/>
      <c r="D287" s="234">
        <f>B334</f>
        <v>0</v>
      </c>
      <c r="E287" s="234"/>
      <c r="F287" s="234"/>
      <c r="G287" s="234"/>
      <c r="H287" s="234"/>
      <c r="I287" s="235"/>
    </row>
    <row r="288" spans="1:9">
      <c r="A288" s="1424" t="s">
        <v>192</v>
      </c>
      <c r="B288" s="1424"/>
      <c r="C288" s="1424"/>
      <c r="D288" s="236">
        <f>D334</f>
        <v>670750</v>
      </c>
      <c r="E288" s="236">
        <v>52000000</v>
      </c>
      <c r="F288" s="236">
        <v>53000000</v>
      </c>
      <c r="G288" s="236">
        <f>D288+E288+F288</f>
        <v>105670750</v>
      </c>
      <c r="H288" s="236">
        <v>0</v>
      </c>
      <c r="I288" s="235"/>
    </row>
    <row r="289" spans="1:9">
      <c r="A289" s="1424" t="s">
        <v>193</v>
      </c>
      <c r="B289" s="1424"/>
      <c r="C289" s="1424"/>
      <c r="D289" s="236">
        <f>'[3]بودجه ولایتی 1396'!G256</f>
        <v>3000000</v>
      </c>
      <c r="E289" s="236">
        <v>0</v>
      </c>
      <c r="F289" s="236">
        <v>0</v>
      </c>
      <c r="G289" s="236">
        <v>0</v>
      </c>
      <c r="H289" s="236">
        <v>0</v>
      </c>
      <c r="I289" s="235"/>
    </row>
    <row r="290" spans="1:9">
      <c r="A290" s="1409" t="s">
        <v>194</v>
      </c>
      <c r="B290" s="1409"/>
      <c r="C290" s="1409"/>
      <c r="D290" s="237">
        <f>SUM(D287:D289)</f>
        <v>3670750</v>
      </c>
      <c r="E290" s="237">
        <f>SUM(E287:E289)</f>
        <v>52000000</v>
      </c>
      <c r="F290" s="237">
        <f>SUM(F287:F289)</f>
        <v>53000000</v>
      </c>
      <c r="G290" s="237">
        <f>SUM(G287:G289)</f>
        <v>105670750</v>
      </c>
      <c r="H290" s="237">
        <f>SUM(H287:H289)</f>
        <v>0</v>
      </c>
      <c r="I290" s="237"/>
    </row>
    <row r="291" spans="1:9">
      <c r="A291" s="1423" t="s">
        <v>195</v>
      </c>
      <c r="B291" s="1423"/>
      <c r="C291" s="1423"/>
      <c r="D291" s="1423" t="s">
        <v>196</v>
      </c>
      <c r="E291" s="1423"/>
      <c r="F291" s="1423"/>
      <c r="G291" s="1423"/>
      <c r="H291" s="1423"/>
      <c r="I291" s="1423"/>
    </row>
    <row r="292" spans="1:9">
      <c r="A292" s="1423"/>
      <c r="B292" s="1423"/>
      <c r="C292" s="1423"/>
      <c r="D292" s="233" t="s">
        <v>532</v>
      </c>
      <c r="E292" s="233" t="s">
        <v>533</v>
      </c>
      <c r="F292" s="233">
        <v>1398</v>
      </c>
      <c r="G292" s="233" t="s">
        <v>207</v>
      </c>
      <c r="H292" s="233"/>
      <c r="I292" s="233"/>
    </row>
    <row r="293" spans="1:9">
      <c r="A293" s="1408" t="s">
        <v>191</v>
      </c>
      <c r="B293" s="1408"/>
      <c r="C293" s="1408"/>
      <c r="D293" s="238">
        <v>0</v>
      </c>
      <c r="E293" s="238"/>
      <c r="F293" s="238"/>
      <c r="G293" s="238"/>
      <c r="H293" s="238">
        <v>0</v>
      </c>
      <c r="I293" s="238">
        <f>SUM(D293:H293)</f>
        <v>0</v>
      </c>
    </row>
    <row r="294" spans="1:9">
      <c r="A294" s="1408" t="s">
        <v>192</v>
      </c>
      <c r="B294" s="1408"/>
      <c r="C294" s="1408"/>
      <c r="D294" s="238">
        <f>D288</f>
        <v>670750</v>
      </c>
      <c r="E294" s="239">
        <v>54000000</v>
      </c>
      <c r="F294" s="239">
        <v>54500000</v>
      </c>
      <c r="G294" s="239">
        <f>D294+E294+F294</f>
        <v>109170750</v>
      </c>
      <c r="H294" s="239"/>
      <c r="I294" s="238"/>
    </row>
    <row r="295" spans="1:9">
      <c r="A295" s="1408" t="s">
        <v>193</v>
      </c>
      <c r="B295" s="1408"/>
      <c r="C295" s="1408"/>
      <c r="D295" s="240">
        <f>D289</f>
        <v>3000000</v>
      </c>
      <c r="E295" s="239"/>
      <c r="F295" s="239"/>
      <c r="G295" s="239"/>
      <c r="H295" s="239"/>
      <c r="I295" s="238"/>
    </row>
    <row r="296" spans="1:9">
      <c r="A296" s="1409" t="s">
        <v>194</v>
      </c>
      <c r="B296" s="1409"/>
      <c r="C296" s="1409"/>
      <c r="D296" s="237">
        <f t="shared" ref="D296:I296" si="7">SUM(D293:D295)</f>
        <v>3670750</v>
      </c>
      <c r="E296" s="237">
        <f t="shared" si="7"/>
        <v>54000000</v>
      </c>
      <c r="F296" s="237">
        <f t="shared" si="7"/>
        <v>54500000</v>
      </c>
      <c r="G296" s="237">
        <f t="shared" si="7"/>
        <v>109170750</v>
      </c>
      <c r="H296" s="237">
        <f t="shared" si="7"/>
        <v>0</v>
      </c>
      <c r="I296" s="237">
        <f t="shared" si="7"/>
        <v>0</v>
      </c>
    </row>
    <row r="297" spans="1:9">
      <c r="A297" s="241"/>
      <c r="B297" s="242"/>
      <c r="C297" s="242"/>
      <c r="D297" s="243"/>
      <c r="E297" s="243"/>
      <c r="F297" s="243"/>
      <c r="G297" s="244"/>
      <c r="H297" s="245"/>
      <c r="I297" s="246"/>
    </row>
    <row r="298" spans="1:9">
      <c r="A298" s="247" t="s">
        <v>197</v>
      </c>
      <c r="B298" s="248"/>
      <c r="C298" s="248"/>
      <c r="D298" s="1410" t="s">
        <v>198</v>
      </c>
      <c r="E298" s="1410"/>
      <c r="F298" s="1410"/>
      <c r="G298" s="1411"/>
      <c r="H298" s="1412"/>
      <c r="I298" s="1413"/>
    </row>
    <row r="299" spans="1:9">
      <c r="A299" s="249" t="s">
        <v>199</v>
      </c>
      <c r="B299" s="1414" t="s">
        <v>191</v>
      </c>
      <c r="C299" s="1415"/>
      <c r="D299" s="250" t="s">
        <v>200</v>
      </c>
      <c r="E299" s="250" t="s">
        <v>201</v>
      </c>
      <c r="F299" s="250" t="s">
        <v>202</v>
      </c>
      <c r="G299" s="1416"/>
      <c r="H299" s="1417"/>
      <c r="I299" s="1418"/>
    </row>
    <row r="300" spans="1:9">
      <c r="A300" s="251" t="s">
        <v>37</v>
      </c>
      <c r="B300" s="1396"/>
      <c r="C300" s="1396"/>
      <c r="D300" s="252">
        <f>'[3]بودجه ولایتی 1396'!G255+'[3]بودجه ولایتی 1396'!G250</f>
        <v>300000</v>
      </c>
      <c r="E300" s="252">
        <f>'[3]بودجه ولایتی 1396'!G259</f>
        <v>160000</v>
      </c>
      <c r="F300" s="253">
        <f>E300+D300</f>
        <v>460000</v>
      </c>
      <c r="G300" s="1419"/>
      <c r="H300" s="1420"/>
      <c r="I300" s="1421"/>
    </row>
    <row r="301" spans="1:9">
      <c r="A301" s="254" t="s">
        <v>204</v>
      </c>
      <c r="B301" s="1396"/>
      <c r="C301" s="1396"/>
      <c r="D301" s="252">
        <v>0</v>
      </c>
      <c r="E301" s="252">
        <v>0</v>
      </c>
      <c r="F301" s="253">
        <f t="shared" ref="F301:F332" si="8">SUM(B301:E301)</f>
        <v>0</v>
      </c>
      <c r="G301" s="1397"/>
      <c r="H301" s="1398"/>
      <c r="I301" s="1399"/>
    </row>
    <row r="302" spans="1:9">
      <c r="A302" s="254" t="s">
        <v>422</v>
      </c>
      <c r="B302" s="1406"/>
      <c r="C302" s="1407"/>
      <c r="D302" s="252">
        <v>0</v>
      </c>
      <c r="E302" s="252">
        <v>0</v>
      </c>
      <c r="F302" s="253">
        <f t="shared" si="8"/>
        <v>0</v>
      </c>
      <c r="G302" s="1397"/>
      <c r="H302" s="1398"/>
      <c r="I302" s="1399"/>
    </row>
    <row r="303" spans="1:9">
      <c r="A303" s="254" t="s">
        <v>69</v>
      </c>
      <c r="B303" s="1396"/>
      <c r="C303" s="1396"/>
      <c r="D303" s="252">
        <f>'[3]بودجه ولایتی 1396'!G597</f>
        <v>0</v>
      </c>
      <c r="E303" s="252">
        <v>0</v>
      </c>
      <c r="F303" s="253">
        <f t="shared" si="8"/>
        <v>0</v>
      </c>
      <c r="G303" s="1397"/>
      <c r="H303" s="1398"/>
      <c r="I303" s="1399"/>
    </row>
    <row r="304" spans="1:9">
      <c r="A304" s="254" t="s">
        <v>59</v>
      </c>
      <c r="B304" s="1396"/>
      <c r="C304" s="1396"/>
      <c r="D304" s="252">
        <f>'[3]بودجه ولایتی 1396'!G425</f>
        <v>0</v>
      </c>
      <c r="E304" s="252">
        <v>0</v>
      </c>
      <c r="F304" s="253">
        <f>SUM(B304:E304)</f>
        <v>0</v>
      </c>
      <c r="G304" s="1397"/>
      <c r="H304" s="1398"/>
      <c r="I304" s="1399"/>
    </row>
    <row r="305" spans="1:9">
      <c r="A305" s="254" t="s">
        <v>31</v>
      </c>
      <c r="B305" s="1400"/>
      <c r="C305" s="1400"/>
      <c r="D305" s="252">
        <f>'[3]بودجه ولایتی 1396'!G454</f>
        <v>0</v>
      </c>
      <c r="E305" s="252">
        <v>0</v>
      </c>
      <c r="F305" s="253">
        <f t="shared" si="8"/>
        <v>0</v>
      </c>
      <c r="G305" s="1397"/>
      <c r="H305" s="1398"/>
      <c r="I305" s="1399"/>
    </row>
    <row r="306" spans="1:9">
      <c r="A306" s="254" t="s">
        <v>72</v>
      </c>
      <c r="B306" s="1396"/>
      <c r="C306" s="1396"/>
      <c r="D306" s="252">
        <f>'[3]بودجه ولایتی 1396'!G441</f>
        <v>0</v>
      </c>
      <c r="E306" s="252">
        <v>0</v>
      </c>
      <c r="F306" s="253">
        <f t="shared" si="8"/>
        <v>0</v>
      </c>
      <c r="G306" s="1397"/>
      <c r="H306" s="1398"/>
      <c r="I306" s="1399"/>
    </row>
    <row r="307" spans="1:9">
      <c r="A307" s="255" t="s">
        <v>73</v>
      </c>
      <c r="B307" s="1396"/>
      <c r="C307" s="1396"/>
      <c r="D307" s="252">
        <v>0</v>
      </c>
      <c r="E307" s="252">
        <v>0</v>
      </c>
      <c r="F307" s="253">
        <v>0</v>
      </c>
      <c r="G307" s="1397"/>
      <c r="H307" s="1398"/>
      <c r="I307" s="1399"/>
    </row>
    <row r="308" spans="1:9">
      <c r="A308" s="254" t="s">
        <v>58</v>
      </c>
      <c r="B308" s="1400"/>
      <c r="C308" s="1400"/>
      <c r="D308" s="252" t="str">
        <f>'[3]بودجه ولایتی 1396'!G328</f>
        <v>ارزش مالی به افغانی</v>
      </c>
      <c r="E308" s="252">
        <v>0</v>
      </c>
      <c r="F308" s="253">
        <f t="shared" si="8"/>
        <v>0</v>
      </c>
      <c r="G308" s="1397"/>
      <c r="H308" s="1398"/>
      <c r="I308" s="1399"/>
    </row>
    <row r="309" spans="1:9">
      <c r="A309" s="254" t="s">
        <v>53</v>
      </c>
      <c r="B309" s="1396"/>
      <c r="C309" s="1396"/>
      <c r="D309" s="252">
        <f>'[3]بودجه ولایتی 1396'!G345</f>
        <v>0</v>
      </c>
      <c r="E309" s="252">
        <v>0</v>
      </c>
      <c r="F309" s="253">
        <f t="shared" si="8"/>
        <v>0</v>
      </c>
      <c r="G309" s="1397"/>
      <c r="H309" s="1398"/>
      <c r="I309" s="1399"/>
    </row>
    <row r="310" spans="1:9">
      <c r="A310" s="254" t="s">
        <v>57</v>
      </c>
      <c r="B310" s="1396"/>
      <c r="C310" s="1396"/>
      <c r="D310" s="252">
        <v>0</v>
      </c>
      <c r="E310" s="252">
        <v>0</v>
      </c>
      <c r="F310" s="253">
        <f t="shared" si="8"/>
        <v>0</v>
      </c>
      <c r="G310" s="1397"/>
      <c r="H310" s="1398"/>
      <c r="I310" s="1399"/>
    </row>
    <row r="311" spans="1:9">
      <c r="A311" s="254" t="s">
        <v>63</v>
      </c>
      <c r="B311" s="1400"/>
      <c r="C311" s="1400"/>
      <c r="D311" s="252">
        <f>'[3]بودجه ولایتی 1396'!G371</f>
        <v>0</v>
      </c>
      <c r="E311" s="252">
        <v>0</v>
      </c>
      <c r="F311" s="253">
        <f t="shared" si="8"/>
        <v>0</v>
      </c>
      <c r="G311" s="1397"/>
      <c r="H311" s="1398"/>
      <c r="I311" s="1399"/>
    </row>
    <row r="312" spans="1:9">
      <c r="A312" s="254" t="s">
        <v>41</v>
      </c>
      <c r="B312" s="1396"/>
      <c r="C312" s="1396"/>
      <c r="D312" s="252">
        <f>'[3]بودجه ولایتی 1396'!G566</f>
        <v>0</v>
      </c>
      <c r="E312" s="252">
        <v>0</v>
      </c>
      <c r="F312" s="253">
        <f t="shared" si="8"/>
        <v>0</v>
      </c>
      <c r="G312" s="1397"/>
      <c r="H312" s="1398"/>
      <c r="I312" s="1399"/>
    </row>
    <row r="313" spans="1:9">
      <c r="A313" s="255" t="s">
        <v>71</v>
      </c>
      <c r="B313" s="1396"/>
      <c r="C313" s="1396"/>
      <c r="D313" s="252">
        <f>'[3]بودجه ولایتی 1396'!G358</f>
        <v>0</v>
      </c>
      <c r="E313" s="252">
        <v>0</v>
      </c>
      <c r="F313" s="253">
        <f t="shared" si="8"/>
        <v>0</v>
      </c>
      <c r="G313" s="1397"/>
      <c r="H313" s="1398"/>
      <c r="I313" s="1399"/>
    </row>
    <row r="314" spans="1:9">
      <c r="A314" s="254" t="s">
        <v>67</v>
      </c>
      <c r="B314" s="1400"/>
      <c r="C314" s="1400"/>
      <c r="D314" s="252">
        <f>'[3]بودجه ولایتی 1396'!G510</f>
        <v>0</v>
      </c>
      <c r="E314" s="252">
        <v>0</v>
      </c>
      <c r="F314" s="253">
        <f t="shared" si="8"/>
        <v>0</v>
      </c>
      <c r="G314" s="1397"/>
      <c r="H314" s="1398"/>
      <c r="I314" s="1399"/>
    </row>
    <row r="315" spans="1:9">
      <c r="A315" s="255" t="s">
        <v>74</v>
      </c>
      <c r="B315" s="1397"/>
      <c r="C315" s="1399"/>
      <c r="D315" s="252">
        <f>'[3]بودجه ولایتی 1396'!G489</f>
        <v>0</v>
      </c>
      <c r="E315" s="252">
        <v>0</v>
      </c>
      <c r="F315" s="253">
        <f t="shared" si="8"/>
        <v>0</v>
      </c>
      <c r="G315" s="1397"/>
      <c r="H315" s="1398"/>
      <c r="I315" s="1399"/>
    </row>
    <row r="316" spans="1:9">
      <c r="A316" s="255" t="s">
        <v>75</v>
      </c>
      <c r="B316" s="1396"/>
      <c r="C316" s="1396"/>
      <c r="D316" s="252">
        <v>0</v>
      </c>
      <c r="E316" s="252">
        <v>0</v>
      </c>
      <c r="F316" s="253">
        <v>0</v>
      </c>
      <c r="G316" s="1397"/>
      <c r="H316" s="1398"/>
      <c r="I316" s="1399"/>
    </row>
    <row r="317" spans="1:9">
      <c r="A317" s="255" t="s">
        <v>32</v>
      </c>
      <c r="B317" s="1400"/>
      <c r="C317" s="1400"/>
      <c r="D317" s="252">
        <f>'[3]بودجه ولایتی 1396'!G471</f>
        <v>0</v>
      </c>
      <c r="E317" s="252">
        <v>0</v>
      </c>
      <c r="F317" s="253">
        <f>SUM(B317:E317)</f>
        <v>0</v>
      </c>
      <c r="G317" s="1397"/>
      <c r="H317" s="1398"/>
      <c r="I317" s="1399"/>
    </row>
    <row r="318" spans="1:9">
      <c r="A318" s="254" t="s">
        <v>35</v>
      </c>
      <c r="B318" s="1396"/>
      <c r="C318" s="1396"/>
      <c r="D318" s="252">
        <f>'[3]بودجه ولایتی 1396'!G582</f>
        <v>0</v>
      </c>
      <c r="E318" s="252">
        <v>0</v>
      </c>
      <c r="F318" s="253">
        <f>D318</f>
        <v>0</v>
      </c>
      <c r="G318" s="1397"/>
      <c r="H318" s="1398"/>
      <c r="I318" s="1399"/>
    </row>
    <row r="319" spans="1:9">
      <c r="A319" s="254" t="s">
        <v>205</v>
      </c>
      <c r="B319" s="1396"/>
      <c r="C319" s="1396"/>
      <c r="D319" s="252">
        <v>0</v>
      </c>
      <c r="E319" s="252">
        <v>0</v>
      </c>
      <c r="F319" s="253">
        <f t="shared" si="8"/>
        <v>0</v>
      </c>
      <c r="G319" s="1397"/>
      <c r="H319" s="1398"/>
      <c r="I319" s="1399"/>
    </row>
    <row r="320" spans="1:9">
      <c r="A320" s="254" t="s">
        <v>78</v>
      </c>
      <c r="B320" s="1400"/>
      <c r="C320" s="1400"/>
      <c r="D320" s="252">
        <v>0</v>
      </c>
      <c r="E320" s="252">
        <v>0</v>
      </c>
      <c r="F320" s="253">
        <f t="shared" si="8"/>
        <v>0</v>
      </c>
      <c r="G320" s="1397"/>
      <c r="H320" s="1398"/>
      <c r="I320" s="1399"/>
    </row>
    <row r="321" spans="1:9">
      <c r="A321" s="254" t="s">
        <v>206</v>
      </c>
      <c r="B321" s="1396"/>
      <c r="C321" s="1396"/>
      <c r="D321" s="252">
        <v>0</v>
      </c>
      <c r="E321" s="252">
        <v>0</v>
      </c>
      <c r="F321" s="253">
        <f t="shared" si="8"/>
        <v>0</v>
      </c>
      <c r="G321" s="1397"/>
      <c r="H321" s="1398"/>
      <c r="I321" s="1399"/>
    </row>
    <row r="322" spans="1:9">
      <c r="A322" s="254" t="s">
        <v>79</v>
      </c>
      <c r="B322" s="1396"/>
      <c r="C322" s="1396"/>
      <c r="D322" s="252">
        <v>0</v>
      </c>
      <c r="E322" s="252">
        <v>0</v>
      </c>
      <c r="F322" s="253">
        <f t="shared" si="8"/>
        <v>0</v>
      </c>
      <c r="G322" s="1397"/>
      <c r="H322" s="1398"/>
      <c r="I322" s="1399"/>
    </row>
    <row r="323" spans="1:9">
      <c r="A323" s="254" t="s">
        <v>80</v>
      </c>
      <c r="B323" s="1396"/>
      <c r="C323" s="1396"/>
      <c r="D323" s="256">
        <v>0</v>
      </c>
      <c r="E323" s="257">
        <v>0</v>
      </c>
      <c r="F323" s="253">
        <f t="shared" si="8"/>
        <v>0</v>
      </c>
      <c r="G323" s="1397"/>
      <c r="H323" s="1398"/>
      <c r="I323" s="1399"/>
    </row>
    <row r="324" spans="1:9">
      <c r="A324" s="254" t="s">
        <v>47</v>
      </c>
      <c r="B324" s="1397"/>
      <c r="C324" s="1399"/>
      <c r="D324" s="252">
        <f>'[3]بودجه ولایتی 1396'!G274</f>
        <v>0</v>
      </c>
      <c r="E324" s="252">
        <v>0</v>
      </c>
      <c r="F324" s="253">
        <f t="shared" si="8"/>
        <v>0</v>
      </c>
      <c r="G324" s="1397"/>
      <c r="H324" s="1398"/>
      <c r="I324" s="1399"/>
    </row>
    <row r="325" spans="1:9">
      <c r="A325" s="254" t="s">
        <v>77</v>
      </c>
      <c r="B325" s="1397"/>
      <c r="C325" s="1399"/>
      <c r="D325" s="252">
        <f>'[3]بودجه ولایتی 1396'!G289</f>
        <v>0</v>
      </c>
      <c r="E325" s="252">
        <v>0</v>
      </c>
      <c r="F325" s="253">
        <f t="shared" si="8"/>
        <v>0</v>
      </c>
      <c r="G325" s="1397"/>
      <c r="H325" s="1398"/>
      <c r="I325" s="1399"/>
    </row>
    <row r="326" spans="1:9">
      <c r="A326" s="254" t="s">
        <v>56</v>
      </c>
      <c r="B326" s="1397"/>
      <c r="C326" s="1399"/>
      <c r="D326" s="252">
        <f>'[3]بودجه ولایتی 1396'!G315</f>
        <v>250000</v>
      </c>
      <c r="E326" s="252">
        <v>0</v>
      </c>
      <c r="F326" s="253">
        <f t="shared" si="8"/>
        <v>250000</v>
      </c>
      <c r="G326" s="1397"/>
      <c r="H326" s="1398"/>
      <c r="I326" s="1399"/>
    </row>
    <row r="327" spans="1:9">
      <c r="A327" s="254" t="s">
        <v>64</v>
      </c>
      <c r="B327" s="1396"/>
      <c r="C327" s="1396"/>
      <c r="D327" s="252">
        <f>'[3]بودجه ولایتی 1396'!G302</f>
        <v>0</v>
      </c>
      <c r="E327" s="252">
        <v>0</v>
      </c>
      <c r="F327" s="253">
        <f t="shared" si="8"/>
        <v>0</v>
      </c>
      <c r="G327" s="1397">
        <f>F327/67</f>
        <v>0</v>
      </c>
      <c r="H327" s="1398"/>
      <c r="I327" s="1399"/>
    </row>
    <row r="328" spans="1:9">
      <c r="A328" s="254" t="s">
        <v>76</v>
      </c>
      <c r="B328" s="1396"/>
      <c r="C328" s="1396"/>
      <c r="D328" s="252">
        <f>'[3]بودجه ولایتی 1396'!G384</f>
        <v>0</v>
      </c>
      <c r="E328" s="252">
        <v>0</v>
      </c>
      <c r="F328" s="253">
        <f t="shared" si="8"/>
        <v>0</v>
      </c>
      <c r="G328" s="1397"/>
      <c r="H328" s="1398"/>
      <c r="I328" s="1399"/>
    </row>
    <row r="329" spans="1:9">
      <c r="A329" s="254" t="s">
        <v>65</v>
      </c>
      <c r="B329" s="1400"/>
      <c r="C329" s="1400"/>
      <c r="D329" s="252">
        <f>'[3]بودجه ولایتی 1396'!G397</f>
        <v>120750</v>
      </c>
      <c r="E329" s="252">
        <v>0</v>
      </c>
      <c r="F329" s="253">
        <f t="shared" si="8"/>
        <v>120750</v>
      </c>
      <c r="G329" s="1397"/>
      <c r="H329" s="1398"/>
      <c r="I329" s="1399"/>
    </row>
    <row r="330" spans="1:9">
      <c r="A330" s="254" t="s">
        <v>62</v>
      </c>
      <c r="B330" s="1396"/>
      <c r="C330" s="1396"/>
      <c r="D330" s="252">
        <v>0</v>
      </c>
      <c r="E330" s="252">
        <v>0</v>
      </c>
      <c r="F330" s="253">
        <f t="shared" si="8"/>
        <v>0</v>
      </c>
      <c r="G330" s="1397"/>
      <c r="H330" s="1398"/>
      <c r="I330" s="1399"/>
    </row>
    <row r="331" spans="1:9">
      <c r="A331" s="254" t="s">
        <v>60</v>
      </c>
      <c r="B331" s="1396"/>
      <c r="C331" s="1396"/>
      <c r="D331" s="252">
        <f>'[3]بودجه ولایتی 1396'!G409</f>
        <v>0</v>
      </c>
      <c r="E331" s="252">
        <v>0</v>
      </c>
      <c r="F331" s="253">
        <f t="shared" si="8"/>
        <v>0</v>
      </c>
      <c r="G331" s="1397"/>
      <c r="H331" s="1398"/>
      <c r="I331" s="1399"/>
    </row>
    <row r="332" spans="1:9">
      <c r="A332" s="254" t="s">
        <v>70</v>
      </c>
      <c r="B332" s="1400"/>
      <c r="C332" s="1400"/>
      <c r="D332" s="252">
        <f>'[3]بودجه ولایتی 1396'!G530</f>
        <v>0</v>
      </c>
      <c r="E332" s="252">
        <v>0</v>
      </c>
      <c r="F332" s="253">
        <f t="shared" si="8"/>
        <v>0</v>
      </c>
      <c r="G332" s="1397"/>
      <c r="H332" s="1398"/>
      <c r="I332" s="1399"/>
    </row>
    <row r="333" spans="1:9">
      <c r="A333" s="254" t="s">
        <v>34</v>
      </c>
      <c r="B333" s="1396"/>
      <c r="C333" s="1396"/>
      <c r="D333" s="252">
        <f>'[3]بودجه ولایتی 1396'!G548</f>
        <v>0</v>
      </c>
      <c r="E333" s="252">
        <v>0</v>
      </c>
      <c r="F333" s="253">
        <f>SUM(B333:E333)</f>
        <v>0</v>
      </c>
      <c r="G333" s="1397">
        <f>F333/67</f>
        <v>0</v>
      </c>
      <c r="H333" s="1398"/>
      <c r="I333" s="1399"/>
    </row>
    <row r="334" spans="1:9">
      <c r="A334" s="258" t="s">
        <v>207</v>
      </c>
      <c r="B334" s="1401">
        <f>SUM(B300:C333)</f>
        <v>0</v>
      </c>
      <c r="C334" s="1401"/>
      <c r="D334" s="259">
        <f>SUM(D300:D333)</f>
        <v>670750</v>
      </c>
      <c r="E334" s="259">
        <f>SUM(E300:E333)</f>
        <v>160000</v>
      </c>
      <c r="F334" s="259">
        <f>SUM(F300:F333)</f>
        <v>830750</v>
      </c>
      <c r="G334" s="1402">
        <f>F334/67</f>
        <v>12399.253731343284</v>
      </c>
      <c r="H334" s="1403"/>
      <c r="I334" s="1404"/>
    </row>
    <row r="335" spans="1:9">
      <c r="A335" s="1405" t="s">
        <v>208</v>
      </c>
      <c r="B335" s="1405"/>
      <c r="C335" s="1405"/>
      <c r="D335" s="1405"/>
      <c r="E335" s="1405"/>
      <c r="F335" s="1405"/>
      <c r="G335" s="1405"/>
      <c r="H335" s="1405"/>
      <c r="I335" s="1405"/>
    </row>
    <row r="336" spans="1:9">
      <c r="A336" s="1381" t="s">
        <v>209</v>
      </c>
      <c r="B336" s="1381"/>
      <c r="C336" s="1381"/>
      <c r="D336" s="1381"/>
      <c r="E336" s="1381"/>
      <c r="F336" s="1381"/>
      <c r="G336" s="1381"/>
      <c r="H336" s="1381"/>
      <c r="I336" s="1381"/>
    </row>
    <row r="337" spans="1:9">
      <c r="A337" s="1382" t="s">
        <v>210</v>
      </c>
      <c r="B337" s="1382"/>
      <c r="C337" s="1382"/>
      <c r="D337" s="1382"/>
      <c r="E337" s="1382"/>
      <c r="F337" s="1382"/>
      <c r="G337" s="1382"/>
      <c r="H337" s="1382"/>
      <c r="I337" s="1382"/>
    </row>
    <row r="338" spans="1:9">
      <c r="A338" s="1383" t="s">
        <v>211</v>
      </c>
      <c r="B338" s="1384"/>
      <c r="C338" s="1384"/>
      <c r="D338" s="1385"/>
      <c r="E338" s="1386" t="s">
        <v>212</v>
      </c>
      <c r="F338" s="1386"/>
      <c r="G338" s="1386"/>
      <c r="H338" s="260"/>
      <c r="I338" s="261" t="s">
        <v>213</v>
      </c>
    </row>
    <row r="339" spans="1:9">
      <c r="A339" s="1387" t="s">
        <v>534</v>
      </c>
      <c r="B339" s="1388"/>
      <c r="C339" s="1388"/>
      <c r="D339" s="1389"/>
      <c r="E339" s="262"/>
      <c r="F339" s="263"/>
      <c r="G339" s="264"/>
      <c r="H339" s="264"/>
      <c r="I339" s="265"/>
    </row>
    <row r="340" spans="1:9">
      <c r="A340" s="1390" t="s">
        <v>535</v>
      </c>
      <c r="B340" s="1391"/>
      <c r="C340" s="1391"/>
      <c r="D340" s="1392"/>
      <c r="E340" s="262"/>
      <c r="F340" s="263"/>
      <c r="G340" s="264"/>
      <c r="H340" s="264"/>
      <c r="I340" s="265"/>
    </row>
    <row r="341" spans="1:9">
      <c r="A341" s="1393" t="s">
        <v>536</v>
      </c>
      <c r="B341" s="1394"/>
      <c r="C341" s="1394"/>
      <c r="D341" s="1395"/>
      <c r="E341" s="262"/>
      <c r="F341" s="263"/>
      <c r="G341" s="264"/>
      <c r="H341" s="264"/>
      <c r="I341" s="265"/>
    </row>
    <row r="342" spans="1:9">
      <c r="A342" s="1365" t="s">
        <v>537</v>
      </c>
      <c r="B342" s="1366"/>
      <c r="C342" s="1366"/>
      <c r="D342" s="1367"/>
      <c r="E342" s="262"/>
      <c r="F342" s="263"/>
      <c r="G342" s="264"/>
      <c r="H342" s="264"/>
      <c r="I342" s="265"/>
    </row>
    <row r="343" spans="1:9">
      <c r="A343" s="266" t="s">
        <v>538</v>
      </c>
      <c r="B343" s="267"/>
      <c r="C343" s="267"/>
      <c r="D343" s="268"/>
      <c r="E343" s="262"/>
      <c r="F343" s="263"/>
      <c r="G343" s="264"/>
      <c r="H343" s="264"/>
      <c r="I343" s="265"/>
    </row>
    <row r="344" spans="1:9">
      <c r="A344" s="1362" t="s">
        <v>539</v>
      </c>
      <c r="B344" s="1363"/>
      <c r="C344" s="1363"/>
      <c r="D344" s="1364"/>
      <c r="E344" s="262"/>
      <c r="F344" s="263"/>
      <c r="G344" s="264"/>
      <c r="H344" s="264"/>
      <c r="I344" s="265"/>
    </row>
    <row r="345" spans="1:9">
      <c r="A345" s="1362" t="s">
        <v>540</v>
      </c>
      <c r="B345" s="1363"/>
      <c r="C345" s="1363"/>
      <c r="D345" s="1364"/>
      <c r="E345" s="262"/>
      <c r="F345" s="263"/>
      <c r="G345" s="264"/>
      <c r="H345" s="264"/>
      <c r="I345" s="265"/>
    </row>
    <row r="346" spans="1:9">
      <c r="A346" s="1365" t="s">
        <v>541</v>
      </c>
      <c r="B346" s="1366"/>
      <c r="C346" s="1366"/>
      <c r="D346" s="1367"/>
      <c r="E346" s="262"/>
      <c r="F346" s="263"/>
      <c r="G346" s="264"/>
      <c r="H346" s="264"/>
      <c r="I346" s="265"/>
    </row>
    <row r="347" spans="1:9">
      <c r="A347" s="1368" t="s">
        <v>542</v>
      </c>
      <c r="B347" s="1369"/>
      <c r="C347" s="1369"/>
      <c r="D347" s="1370"/>
      <c r="E347" s="262"/>
      <c r="F347" s="263"/>
      <c r="G347" s="264"/>
      <c r="H347" s="264"/>
      <c r="I347" s="265"/>
    </row>
    <row r="348" spans="1:9">
      <c r="A348" s="1371" t="s">
        <v>543</v>
      </c>
      <c r="B348" s="1372"/>
      <c r="C348" s="1372"/>
      <c r="D348" s="1373"/>
      <c r="E348" s="269"/>
      <c r="F348" s="270"/>
      <c r="G348" s="271"/>
      <c r="H348" s="271"/>
      <c r="I348" s="272"/>
    </row>
    <row r="349" spans="1:9">
      <c r="A349" s="1371" t="s">
        <v>544</v>
      </c>
      <c r="B349" s="1372"/>
      <c r="C349" s="1372"/>
      <c r="D349" s="1373"/>
      <c r="E349" s="269"/>
      <c r="F349" s="270"/>
      <c r="G349" s="271"/>
      <c r="H349" s="271"/>
      <c r="I349" s="272"/>
    </row>
    <row r="350" spans="1:9">
      <c r="A350" s="1371" t="s">
        <v>545</v>
      </c>
      <c r="B350" s="1372"/>
      <c r="C350" s="1372"/>
      <c r="D350" s="1373"/>
      <c r="E350" s="269"/>
      <c r="F350" s="270"/>
      <c r="G350" s="271"/>
      <c r="H350" s="271"/>
      <c r="I350" s="272"/>
    </row>
    <row r="351" spans="1:9">
      <c r="A351" s="273" t="s">
        <v>546</v>
      </c>
      <c r="B351" s="274"/>
      <c r="C351" s="274"/>
      <c r="D351" s="275"/>
      <c r="E351" s="269"/>
      <c r="F351" s="270"/>
      <c r="G351" s="271"/>
      <c r="H351" s="271"/>
      <c r="I351" s="272"/>
    </row>
    <row r="352" spans="1:9">
      <c r="A352" s="276" t="s">
        <v>214</v>
      </c>
      <c r="B352" s="276"/>
      <c r="C352" s="276"/>
      <c r="D352" s="276"/>
      <c r="E352" s="277"/>
      <c r="F352" s="1374"/>
      <c r="G352" s="1375"/>
      <c r="H352" s="1375"/>
      <c r="I352" s="1376"/>
    </row>
    <row r="353" spans="1:9" ht="108">
      <c r="A353" s="278" t="s">
        <v>215</v>
      </c>
      <c r="B353" s="279"/>
      <c r="C353" s="279"/>
      <c r="D353" s="279"/>
      <c r="E353" s="277"/>
      <c r="F353" s="1377"/>
      <c r="G353" s="1378"/>
      <c r="H353" s="1378"/>
      <c r="I353" s="1379"/>
    </row>
    <row r="354" spans="1:9" ht="144">
      <c r="A354" s="278" t="s">
        <v>217</v>
      </c>
      <c r="B354" s="279"/>
      <c r="C354" s="279"/>
      <c r="D354" s="279"/>
      <c r="E354" s="280"/>
      <c r="F354" s="1380"/>
      <c r="G354" s="1380"/>
      <c r="H354" s="1380"/>
      <c r="I354" s="1380"/>
    </row>
    <row r="355" spans="1:9">
      <c r="A355" s="280" t="s">
        <v>547</v>
      </c>
      <c r="B355" s="280"/>
      <c r="C355" s="280"/>
      <c r="D355" s="280"/>
      <c r="E355" s="281"/>
      <c r="F355" s="1357" t="s">
        <v>220</v>
      </c>
      <c r="G355" s="1357"/>
      <c r="H355" s="1357"/>
      <c r="I355" s="1357"/>
    </row>
    <row r="356" spans="1:9">
      <c r="A356" s="281" t="s">
        <v>219</v>
      </c>
      <c r="B356" s="281"/>
      <c r="C356" s="281"/>
      <c r="D356" s="281"/>
      <c r="E356" s="281"/>
      <c r="F356" s="1358"/>
      <c r="G356" s="1358"/>
      <c r="H356" s="1358"/>
      <c r="I356" s="1358"/>
    </row>
    <row r="357" spans="1:9">
      <c r="A357" s="281" t="s">
        <v>221</v>
      </c>
      <c r="B357" s="281"/>
      <c r="C357" s="281"/>
      <c r="D357" s="281"/>
      <c r="E357" s="281"/>
      <c r="F357" s="1358"/>
      <c r="G357" s="1358"/>
      <c r="H357" s="1358"/>
      <c r="I357" s="1358"/>
    </row>
    <row r="358" spans="1:9">
      <c r="A358" s="281" t="s">
        <v>222</v>
      </c>
      <c r="B358" s="281"/>
      <c r="C358" s="281"/>
      <c r="D358" s="281"/>
      <c r="E358" s="276"/>
      <c r="F358" s="276"/>
      <c r="G358" s="276"/>
      <c r="H358" s="276"/>
      <c r="I358" s="276"/>
    </row>
    <row r="359" spans="1:9">
      <c r="A359" s="276" t="s">
        <v>223</v>
      </c>
      <c r="B359" s="276"/>
      <c r="C359" s="276"/>
      <c r="D359" s="276"/>
      <c r="E359" s="282"/>
      <c r="F359" s="282"/>
      <c r="G359" s="282"/>
      <c r="H359" s="282"/>
      <c r="I359" s="283"/>
    </row>
    <row r="360" spans="1:9" ht="382.5">
      <c r="A360" s="284" t="s">
        <v>548</v>
      </c>
      <c r="B360" s="282"/>
      <c r="C360" s="282"/>
      <c r="D360" s="282"/>
      <c r="E360" s="285"/>
      <c r="F360" s="285"/>
      <c r="G360" s="285"/>
      <c r="H360" s="285"/>
      <c r="I360" s="285"/>
    </row>
    <row r="361" spans="1:9">
      <c r="A361" s="285" t="s">
        <v>225</v>
      </c>
      <c r="B361" s="285"/>
      <c r="C361" s="285"/>
      <c r="D361" s="285"/>
      <c r="E361" s="1359" t="s">
        <v>549</v>
      </c>
      <c r="F361" s="1359"/>
      <c r="G361" s="286" t="s">
        <v>156</v>
      </c>
      <c r="H361" s="286"/>
      <c r="I361" s="286" t="s">
        <v>181</v>
      </c>
    </row>
    <row r="362" spans="1:9">
      <c r="A362" s="1359" t="s">
        <v>226</v>
      </c>
      <c r="B362" s="1359"/>
      <c r="C362" s="286" t="s">
        <v>550</v>
      </c>
      <c r="D362" s="286" t="s">
        <v>228</v>
      </c>
      <c r="E362" s="1360" t="s">
        <v>551</v>
      </c>
      <c r="F362" s="1361"/>
      <c r="G362" s="225">
        <v>799107362</v>
      </c>
      <c r="H362" s="225"/>
      <c r="I362" s="287" t="s">
        <v>552</v>
      </c>
    </row>
    <row r="363" spans="1:9">
      <c r="A363" s="1361" t="s">
        <v>519</v>
      </c>
      <c r="B363" s="1361"/>
      <c r="C363" s="288" t="s">
        <v>553</v>
      </c>
      <c r="D363" s="288" t="s">
        <v>554</v>
      </c>
    </row>
    <row r="364" spans="1:9">
      <c r="A364" s="1451"/>
      <c r="B364" s="1451"/>
      <c r="C364" s="1451"/>
      <c r="D364" s="1451"/>
      <c r="E364" s="1451"/>
      <c r="F364" s="1451"/>
      <c r="G364" s="1451"/>
      <c r="H364" s="1451"/>
      <c r="I364" s="1451"/>
    </row>
    <row r="365" spans="1:9">
      <c r="A365" s="1451"/>
      <c r="B365" s="1451"/>
      <c r="C365" s="1451"/>
      <c r="D365" s="1451"/>
      <c r="E365" s="1451"/>
      <c r="F365" s="1451"/>
      <c r="G365" s="1451"/>
      <c r="H365" s="1451"/>
      <c r="I365" s="1451"/>
    </row>
    <row r="366" spans="1:9">
      <c r="A366" s="1451"/>
      <c r="B366" s="1451"/>
      <c r="C366" s="1451"/>
      <c r="D366" s="1451"/>
      <c r="E366" s="1451"/>
      <c r="F366" s="1451"/>
      <c r="G366" s="1451"/>
      <c r="H366" s="1451"/>
      <c r="I366" s="1451"/>
    </row>
    <row r="367" spans="1:9">
      <c r="A367" s="1451"/>
      <c r="B367" s="1451"/>
      <c r="C367" s="1451"/>
      <c r="D367" s="1451"/>
      <c r="E367" s="1451"/>
      <c r="F367" s="1451"/>
      <c r="G367" s="1451"/>
      <c r="H367" s="1451"/>
      <c r="I367" s="1451"/>
    </row>
    <row r="368" spans="1:9">
      <c r="A368" s="1451"/>
      <c r="B368" s="1451"/>
      <c r="C368" s="1451"/>
      <c r="D368" s="1451"/>
      <c r="E368" s="1451"/>
      <c r="F368" s="1451"/>
      <c r="G368" s="1451"/>
      <c r="H368" s="1451"/>
      <c r="I368" s="1451"/>
    </row>
    <row r="369" spans="1:9">
      <c r="A369" s="1451"/>
      <c r="B369" s="1451"/>
      <c r="C369" s="1451"/>
      <c r="D369" s="1451"/>
      <c r="E369" s="1451"/>
      <c r="F369" s="1451"/>
      <c r="G369" s="1451"/>
      <c r="H369" s="1451"/>
      <c r="I369" s="1451"/>
    </row>
    <row r="370" spans="1:9">
      <c r="A370" s="1452" t="s">
        <v>131</v>
      </c>
      <c r="B370" s="1452"/>
      <c r="C370" s="1452"/>
      <c r="D370" s="1452"/>
      <c r="E370" s="1452"/>
      <c r="F370" s="1452"/>
      <c r="G370" s="1452"/>
      <c r="H370" s="1452"/>
      <c r="I370" s="1452"/>
    </row>
    <row r="371" spans="1:9">
      <c r="A371" s="1452" t="s">
        <v>132</v>
      </c>
      <c r="B371" s="1452"/>
      <c r="C371" s="1452"/>
      <c r="D371" s="1452"/>
      <c r="E371" s="1452"/>
      <c r="F371" s="1452"/>
      <c r="G371" s="1452"/>
      <c r="H371" s="1452"/>
      <c r="I371" s="1452"/>
    </row>
    <row r="372" spans="1:9">
      <c r="A372" s="1452" t="s">
        <v>133</v>
      </c>
      <c r="B372" s="1452"/>
      <c r="C372" s="1452"/>
      <c r="D372" s="1452"/>
      <c r="E372" s="1452"/>
      <c r="F372" s="1452"/>
      <c r="G372" s="1452"/>
      <c r="H372" s="1452"/>
      <c r="I372" s="1452"/>
    </row>
    <row r="373" spans="1:9" ht="18">
      <c r="A373" s="1453" t="s">
        <v>134</v>
      </c>
      <c r="B373" s="1453"/>
      <c r="C373" s="1453"/>
      <c r="D373" s="1453"/>
      <c r="E373" s="1453"/>
      <c r="F373" s="1453"/>
      <c r="G373" s="1453"/>
      <c r="H373" s="1453"/>
      <c r="I373" s="1453"/>
    </row>
    <row r="374" spans="1:9" ht="18">
      <c r="A374" s="1454" t="s">
        <v>511</v>
      </c>
      <c r="B374" s="1455"/>
      <c r="C374" s="1455"/>
      <c r="D374" s="1453" t="s">
        <v>443</v>
      </c>
      <c r="E374" s="1453"/>
      <c r="F374" s="290"/>
      <c r="G374" s="290"/>
      <c r="H374" s="290"/>
      <c r="I374" s="290"/>
    </row>
    <row r="375" spans="1:9">
      <c r="A375" s="1427" t="s">
        <v>137</v>
      </c>
      <c r="B375" s="1427"/>
      <c r="C375" s="1427"/>
      <c r="D375" s="1427"/>
      <c r="E375" s="1427"/>
      <c r="F375" s="1427"/>
      <c r="G375" s="1427"/>
      <c r="H375" s="1427"/>
      <c r="I375" s="1427"/>
    </row>
    <row r="376" spans="1:9">
      <c r="A376" s="1447" t="s">
        <v>138</v>
      </c>
      <c r="B376" s="1447"/>
      <c r="C376" s="1456" t="s">
        <v>512</v>
      </c>
      <c r="D376" s="1457"/>
      <c r="E376" s="221"/>
      <c r="F376" s="221" t="s">
        <v>140</v>
      </c>
      <c r="G376" s="221" t="s">
        <v>141</v>
      </c>
      <c r="H376" s="221"/>
      <c r="I376" s="221" t="s">
        <v>142</v>
      </c>
    </row>
    <row r="377" spans="1:9">
      <c r="A377" s="1447" t="s">
        <v>143</v>
      </c>
      <c r="B377" s="1447"/>
      <c r="C377" s="1447"/>
      <c r="D377" s="1447"/>
      <c r="E377" s="1430"/>
      <c r="F377" s="1430"/>
      <c r="G377" s="1430"/>
      <c r="H377" s="1430"/>
      <c r="I377" s="1430"/>
    </row>
    <row r="378" spans="1:9">
      <c r="A378" s="1447" t="s">
        <v>144</v>
      </c>
      <c r="B378" s="1447"/>
      <c r="C378" s="1447"/>
      <c r="D378" s="1447"/>
      <c r="E378" s="1430"/>
      <c r="F378" s="1430"/>
      <c r="G378" s="1430"/>
      <c r="H378" s="1430"/>
      <c r="I378" s="1430"/>
    </row>
    <row r="379" spans="1:9">
      <c r="A379" s="1447" t="s">
        <v>145</v>
      </c>
      <c r="B379" s="1447"/>
      <c r="C379" s="1447"/>
      <c r="D379" s="1447"/>
      <c r="E379" s="1430"/>
      <c r="F379" s="1430"/>
      <c r="G379" s="1430"/>
      <c r="H379" s="1430"/>
      <c r="I379" s="1430"/>
    </row>
    <row r="380" spans="1:9">
      <c r="A380" s="1447" t="s">
        <v>146</v>
      </c>
      <c r="B380" s="1447"/>
      <c r="C380" s="1447"/>
      <c r="D380" s="1447"/>
      <c r="E380" s="1448"/>
      <c r="F380" s="1449"/>
      <c r="G380" s="1449"/>
      <c r="H380" s="1449"/>
      <c r="I380" s="1450"/>
    </row>
    <row r="381" spans="1:9">
      <c r="A381" s="1440" t="s">
        <v>513</v>
      </c>
      <c r="B381" s="1440"/>
      <c r="C381" s="1440"/>
      <c r="D381" s="1440"/>
      <c r="E381" s="1433" t="s">
        <v>334</v>
      </c>
      <c r="F381" s="1433"/>
      <c r="G381" s="1433"/>
      <c r="H381" s="1433"/>
      <c r="I381" s="1433"/>
    </row>
    <row r="382" spans="1:9">
      <c r="A382" s="1440" t="s">
        <v>514</v>
      </c>
      <c r="B382" s="1440"/>
      <c r="C382" s="1440"/>
      <c r="D382" s="1440"/>
      <c r="E382" s="1433" t="s">
        <v>335</v>
      </c>
      <c r="F382" s="1433"/>
      <c r="G382" s="1433"/>
      <c r="H382" s="1433"/>
      <c r="I382" s="1433"/>
    </row>
    <row r="383" spans="1:9">
      <c r="A383" s="1440" t="s">
        <v>147</v>
      </c>
      <c r="B383" s="1440"/>
      <c r="C383" s="1440"/>
      <c r="D383" s="1440"/>
      <c r="E383" s="1432"/>
      <c r="F383" s="1432"/>
      <c r="G383" s="1432"/>
      <c r="H383" s="1432"/>
      <c r="I383" s="1432"/>
    </row>
    <row r="384" spans="1:9">
      <c r="A384" s="1382" t="s">
        <v>148</v>
      </c>
      <c r="B384" s="1382"/>
      <c r="C384" s="1382"/>
      <c r="D384" s="1382"/>
      <c r="E384" s="1382"/>
      <c r="F384" s="1382"/>
      <c r="G384" s="1382"/>
      <c r="H384" s="1382"/>
      <c r="I384" s="1382"/>
    </row>
    <row r="385" spans="1:9">
      <c r="A385" s="1441" t="s">
        <v>515</v>
      </c>
      <c r="B385" s="1442"/>
      <c r="C385" s="1442"/>
      <c r="D385" s="1442"/>
      <c r="E385" s="1442"/>
      <c r="F385" s="1442"/>
      <c r="G385" s="1442"/>
      <c r="H385" s="1442"/>
      <c r="I385" s="1443"/>
    </row>
    <row r="386" spans="1:9">
      <c r="A386" s="1382" t="s">
        <v>150</v>
      </c>
      <c r="B386" s="1382"/>
      <c r="C386" s="1382"/>
      <c r="D386" s="1382"/>
      <c r="E386" s="1382"/>
      <c r="F386" s="1382"/>
      <c r="G386" s="1382"/>
      <c r="H386" s="1382"/>
      <c r="I386" s="1382"/>
    </row>
    <row r="387" spans="1:9">
      <c r="A387" s="1444" t="s">
        <v>516</v>
      </c>
      <c r="B387" s="1445"/>
      <c r="C387" s="1445"/>
      <c r="D387" s="1445"/>
      <c r="E387" s="1445"/>
      <c r="F387" s="1445"/>
      <c r="G387" s="1445"/>
      <c r="H387" s="1445"/>
      <c r="I387" s="1446"/>
    </row>
    <row r="388" spans="1:9">
      <c r="A388" s="1434" t="s">
        <v>517</v>
      </c>
      <c r="B388" s="1434"/>
      <c r="C388" s="1434"/>
      <c r="D388" s="1434"/>
      <c r="E388" s="1434"/>
      <c r="F388" s="1434"/>
      <c r="G388" s="1434"/>
      <c r="H388" s="1434"/>
      <c r="I388" s="1434"/>
    </row>
    <row r="389" spans="1:9">
      <c r="A389" s="1434" t="s">
        <v>153</v>
      </c>
      <c r="B389" s="1434"/>
      <c r="C389" s="295"/>
      <c r="D389" s="295"/>
      <c r="E389" s="295" t="s">
        <v>154</v>
      </c>
      <c r="F389" s="1435" t="s">
        <v>155</v>
      </c>
      <c r="G389" s="1435"/>
      <c r="H389" s="295"/>
      <c r="I389" s="295" t="s">
        <v>156</v>
      </c>
    </row>
    <row r="390" spans="1:9">
      <c r="A390" s="1432" t="s">
        <v>157</v>
      </c>
      <c r="B390" s="1432"/>
      <c r="C390" s="1436" t="s">
        <v>518</v>
      </c>
      <c r="D390" s="1436"/>
      <c r="E390" s="294" t="s">
        <v>519</v>
      </c>
      <c r="F390" s="1437" t="s">
        <v>520</v>
      </c>
      <c r="G390" s="1433"/>
      <c r="H390" s="293"/>
      <c r="I390" s="225">
        <v>799107362</v>
      </c>
    </row>
    <row r="391" spans="1:9">
      <c r="A391" s="1438" t="s">
        <v>161</v>
      </c>
      <c r="B391" s="1438"/>
      <c r="C391" s="1439">
        <f>E378</f>
        <v>0</v>
      </c>
      <c r="D391" s="1439"/>
      <c r="E391" s="226"/>
      <c r="F391" s="1433"/>
      <c r="G391" s="1433"/>
      <c r="H391" s="293"/>
      <c r="I391" s="227"/>
    </row>
    <row r="392" spans="1:9">
      <c r="A392" s="1432" t="s">
        <v>162</v>
      </c>
      <c r="B392" s="1432"/>
      <c r="C392" s="1433" t="s">
        <v>521</v>
      </c>
      <c r="D392" s="1433"/>
      <c r="E392" s="1433"/>
      <c r="F392" s="1433"/>
      <c r="G392" s="1433"/>
      <c r="H392" s="1433"/>
      <c r="I392" s="1433"/>
    </row>
    <row r="393" spans="1:9">
      <c r="A393" s="1432" t="s">
        <v>164</v>
      </c>
      <c r="B393" s="1432"/>
      <c r="C393" s="1432"/>
      <c r="D393" s="1432"/>
      <c r="E393" s="1433"/>
      <c r="F393" s="1433"/>
      <c r="G393" s="1433"/>
      <c r="H393" s="1433"/>
      <c r="I393" s="1433"/>
    </row>
    <row r="394" spans="1:9">
      <c r="A394" s="1380" t="s">
        <v>165</v>
      </c>
      <c r="B394" s="1380"/>
      <c r="C394" s="1380"/>
      <c r="D394" s="1380"/>
      <c r="E394" s="1371" t="s">
        <v>522</v>
      </c>
      <c r="F394" s="1372"/>
      <c r="G394" s="1372"/>
      <c r="H394" s="1372"/>
      <c r="I394" s="1373"/>
    </row>
    <row r="395" spans="1:9">
      <c r="A395" s="1380" t="s">
        <v>167</v>
      </c>
      <c r="B395" s="1380"/>
      <c r="C395" s="1380"/>
      <c r="D395" s="1380"/>
      <c r="E395" s="1380" t="s">
        <v>523</v>
      </c>
      <c r="F395" s="1380"/>
      <c r="G395" s="1380"/>
      <c r="H395" s="1380"/>
      <c r="I395" s="1380"/>
    </row>
    <row r="396" spans="1:9">
      <c r="A396" s="1380" t="s">
        <v>169</v>
      </c>
      <c r="B396" s="1380"/>
      <c r="C396" s="1380"/>
      <c r="D396" s="1380"/>
      <c r="E396" s="1380" t="s">
        <v>524</v>
      </c>
      <c r="F396" s="1380"/>
      <c r="G396" s="1380"/>
      <c r="H396" s="1380"/>
      <c r="I396" s="1380"/>
    </row>
    <row r="397" spans="1:9">
      <c r="A397" s="1380" t="s">
        <v>171</v>
      </c>
      <c r="B397" s="1380"/>
      <c r="C397" s="1380"/>
      <c r="D397" s="1380"/>
      <c r="E397" s="1380" t="s">
        <v>525</v>
      </c>
      <c r="F397" s="1380"/>
      <c r="G397" s="1380"/>
      <c r="H397" s="1380"/>
      <c r="I397" s="1380"/>
    </row>
    <row r="398" spans="1:9">
      <c r="A398" s="1382" t="s">
        <v>173</v>
      </c>
      <c r="B398" s="1382"/>
      <c r="C398" s="1382"/>
      <c r="D398" s="1382"/>
      <c r="E398" s="1382"/>
      <c r="F398" s="1382"/>
      <c r="G398" s="1382"/>
      <c r="H398" s="1382"/>
      <c r="I398" s="1382"/>
    </row>
    <row r="399" spans="1:9">
      <c r="A399" s="1425" t="s">
        <v>526</v>
      </c>
      <c r="B399" s="1426"/>
      <c r="C399" s="1426"/>
      <c r="D399" s="1426"/>
      <c r="E399" s="1426"/>
      <c r="F399" s="1426"/>
      <c r="G399" s="1426"/>
      <c r="H399" s="1426"/>
      <c r="I399" s="1426"/>
    </row>
    <row r="400" spans="1:9">
      <c r="A400" s="1427" t="s">
        <v>527</v>
      </c>
      <c r="B400" s="1427"/>
      <c r="C400" s="1427"/>
      <c r="D400" s="1427"/>
      <c r="E400" s="1427"/>
      <c r="F400" s="1427"/>
      <c r="G400" s="1427"/>
      <c r="H400" s="1427"/>
      <c r="I400" s="1427"/>
    </row>
    <row r="401" spans="1:9">
      <c r="A401" s="1428" t="s">
        <v>176</v>
      </c>
      <c r="B401" s="1430" t="s">
        <v>177</v>
      </c>
      <c r="C401" s="1430"/>
      <c r="D401" s="1430" t="s">
        <v>178</v>
      </c>
      <c r="E401" s="1430"/>
      <c r="F401" s="1430" t="s">
        <v>179</v>
      </c>
      <c r="G401" s="1430"/>
      <c r="H401" s="1430"/>
      <c r="I401" s="1430"/>
    </row>
    <row r="402" spans="1:9">
      <c r="A402" s="1429"/>
      <c r="B402" s="1430"/>
      <c r="C402" s="1430"/>
      <c r="D402" s="292" t="s">
        <v>180</v>
      </c>
      <c r="E402" s="292" t="s">
        <v>181</v>
      </c>
      <c r="F402" s="1430" t="s">
        <v>182</v>
      </c>
      <c r="G402" s="1430"/>
      <c r="H402" s="292"/>
      <c r="I402" s="292" t="s">
        <v>183</v>
      </c>
    </row>
    <row r="403" spans="1:9">
      <c r="A403" s="229">
        <f>D454</f>
        <v>0</v>
      </c>
      <c r="B403" s="1431"/>
      <c r="C403" s="1431"/>
      <c r="D403" s="230"/>
      <c r="E403" s="227"/>
      <c r="F403" s="1431"/>
      <c r="G403" s="1431"/>
      <c r="H403" s="297"/>
      <c r="I403" s="229"/>
    </row>
    <row r="404" spans="1:9">
      <c r="A404" s="221" t="s">
        <v>184</v>
      </c>
      <c r="B404" s="1422" t="s">
        <v>528</v>
      </c>
      <c r="C404" s="1422"/>
      <c r="D404" s="296" t="s">
        <v>529</v>
      </c>
      <c r="E404" s="221" t="s">
        <v>530</v>
      </c>
      <c r="F404" s="1377" t="s">
        <v>531</v>
      </c>
      <c r="G404" s="1378"/>
      <c r="H404" s="1378"/>
      <c r="I404" s="1379"/>
    </row>
    <row r="405" spans="1:9">
      <c r="A405" s="1423" t="s">
        <v>187</v>
      </c>
      <c r="B405" s="1423"/>
      <c r="C405" s="1423"/>
      <c r="D405" s="1423" t="s">
        <v>188</v>
      </c>
      <c r="E405" s="1423"/>
      <c r="F405" s="1423"/>
      <c r="G405" s="1423"/>
      <c r="H405" s="1423"/>
      <c r="I405" s="1423"/>
    </row>
    <row r="406" spans="1:9">
      <c r="A406" s="1423"/>
      <c r="B406" s="1423"/>
      <c r="C406" s="1423"/>
      <c r="D406" s="233" t="s">
        <v>532</v>
      </c>
      <c r="E406" s="233" t="s">
        <v>533</v>
      </c>
      <c r="F406" s="233">
        <v>1398</v>
      </c>
      <c r="G406" s="233" t="s">
        <v>207</v>
      </c>
      <c r="H406" s="233"/>
      <c r="I406" s="233"/>
    </row>
    <row r="407" spans="1:9">
      <c r="A407" s="1424" t="s">
        <v>191</v>
      </c>
      <c r="B407" s="1424"/>
      <c r="C407" s="1424"/>
      <c r="D407" s="234">
        <f>B454</f>
        <v>0</v>
      </c>
      <c r="E407" s="234"/>
      <c r="F407" s="234"/>
      <c r="G407" s="234"/>
      <c r="H407" s="234"/>
      <c r="I407" s="235"/>
    </row>
    <row r="408" spans="1:9">
      <c r="A408" s="1424" t="s">
        <v>192</v>
      </c>
      <c r="B408" s="1424"/>
      <c r="C408" s="1424"/>
      <c r="D408" s="236">
        <f>D454</f>
        <v>0</v>
      </c>
      <c r="E408" s="236">
        <v>52000000</v>
      </c>
      <c r="F408" s="236">
        <v>53000000</v>
      </c>
      <c r="G408" s="236">
        <f>D408+E408+F408</f>
        <v>105000000</v>
      </c>
      <c r="H408" s="236">
        <v>0</v>
      </c>
      <c r="I408" s="235"/>
    </row>
    <row r="409" spans="1:9">
      <c r="A409" s="1424" t="s">
        <v>193</v>
      </c>
      <c r="B409" s="1424"/>
      <c r="C409" s="1424"/>
      <c r="D409" s="236">
        <f>'[3]بودجه ولایتی 1396'!G376</f>
        <v>0</v>
      </c>
      <c r="E409" s="236">
        <v>0</v>
      </c>
      <c r="F409" s="236">
        <v>0</v>
      </c>
      <c r="G409" s="236">
        <v>0</v>
      </c>
      <c r="H409" s="236">
        <v>0</v>
      </c>
      <c r="I409" s="235"/>
    </row>
    <row r="410" spans="1:9">
      <c r="A410" s="1409" t="s">
        <v>194</v>
      </c>
      <c r="B410" s="1409"/>
      <c r="C410" s="1409"/>
      <c r="D410" s="237">
        <f>SUM(D407:D409)</f>
        <v>0</v>
      </c>
      <c r="E410" s="237">
        <f>SUM(E407:E409)</f>
        <v>52000000</v>
      </c>
      <c r="F410" s="237">
        <f>SUM(F407:F409)</f>
        <v>53000000</v>
      </c>
      <c r="G410" s="237">
        <f>SUM(G407:G409)</f>
        <v>105000000</v>
      </c>
      <c r="H410" s="237">
        <f>SUM(H407:H409)</f>
        <v>0</v>
      </c>
      <c r="I410" s="237"/>
    </row>
    <row r="411" spans="1:9">
      <c r="A411" s="1423" t="s">
        <v>195</v>
      </c>
      <c r="B411" s="1423"/>
      <c r="C411" s="1423"/>
      <c r="D411" s="1423" t="s">
        <v>196</v>
      </c>
      <c r="E411" s="1423"/>
      <c r="F411" s="1423"/>
      <c r="G411" s="1423"/>
      <c r="H411" s="1423"/>
      <c r="I411" s="1423"/>
    </row>
    <row r="412" spans="1:9">
      <c r="A412" s="1423"/>
      <c r="B412" s="1423"/>
      <c r="C412" s="1423"/>
      <c r="D412" s="233" t="s">
        <v>532</v>
      </c>
      <c r="E412" s="233" t="s">
        <v>533</v>
      </c>
      <c r="F412" s="233">
        <v>1398</v>
      </c>
      <c r="G412" s="233" t="s">
        <v>207</v>
      </c>
      <c r="H412" s="233"/>
      <c r="I412" s="233"/>
    </row>
    <row r="413" spans="1:9">
      <c r="A413" s="1408" t="s">
        <v>191</v>
      </c>
      <c r="B413" s="1408"/>
      <c r="C413" s="1408"/>
      <c r="D413" s="238">
        <v>0</v>
      </c>
      <c r="E413" s="238"/>
      <c r="F413" s="238"/>
      <c r="G413" s="238"/>
      <c r="H413" s="238">
        <v>0</v>
      </c>
      <c r="I413" s="238">
        <f>SUM(D413:H413)</f>
        <v>0</v>
      </c>
    </row>
    <row r="414" spans="1:9">
      <c r="A414" s="1408" t="s">
        <v>192</v>
      </c>
      <c r="B414" s="1408"/>
      <c r="C414" s="1408"/>
      <c r="D414" s="238">
        <f>D408</f>
        <v>0</v>
      </c>
      <c r="E414" s="239">
        <v>54000000</v>
      </c>
      <c r="F414" s="239">
        <v>54500000</v>
      </c>
      <c r="G414" s="239">
        <f>D414+E414+F414</f>
        <v>108500000</v>
      </c>
      <c r="H414" s="239"/>
      <c r="I414" s="238"/>
    </row>
    <row r="415" spans="1:9">
      <c r="A415" s="1408" t="s">
        <v>193</v>
      </c>
      <c r="B415" s="1408"/>
      <c r="C415" s="1408"/>
      <c r="D415" s="240">
        <f>D409</f>
        <v>0</v>
      </c>
      <c r="E415" s="239"/>
      <c r="F415" s="239"/>
      <c r="G415" s="239"/>
      <c r="H415" s="239"/>
      <c r="I415" s="238"/>
    </row>
    <row r="416" spans="1:9">
      <c r="A416" s="1409" t="s">
        <v>194</v>
      </c>
      <c r="B416" s="1409"/>
      <c r="C416" s="1409"/>
      <c r="D416" s="237">
        <f t="shared" ref="D416:I416" si="9">SUM(D413:D415)</f>
        <v>0</v>
      </c>
      <c r="E416" s="237">
        <f t="shared" si="9"/>
        <v>54000000</v>
      </c>
      <c r="F416" s="237">
        <f t="shared" si="9"/>
        <v>54500000</v>
      </c>
      <c r="G416" s="237">
        <f t="shared" si="9"/>
        <v>108500000</v>
      </c>
      <c r="H416" s="237">
        <f t="shared" si="9"/>
        <v>0</v>
      </c>
      <c r="I416" s="237">
        <f t="shared" si="9"/>
        <v>0</v>
      </c>
    </row>
    <row r="417" spans="1:9">
      <c r="A417" s="241"/>
      <c r="B417" s="242"/>
      <c r="C417" s="242"/>
      <c r="D417" s="243"/>
      <c r="E417" s="243"/>
      <c r="F417" s="243"/>
      <c r="G417" s="244"/>
      <c r="H417" s="245"/>
      <c r="I417" s="246"/>
    </row>
    <row r="418" spans="1:9">
      <c r="A418" s="247" t="s">
        <v>197</v>
      </c>
      <c r="B418" s="248"/>
      <c r="C418" s="248"/>
      <c r="D418" s="1410" t="s">
        <v>198</v>
      </c>
      <c r="E418" s="1410"/>
      <c r="F418" s="1410"/>
      <c r="G418" s="1411"/>
      <c r="H418" s="1412"/>
      <c r="I418" s="1413"/>
    </row>
    <row r="419" spans="1:9">
      <c r="A419" s="249" t="s">
        <v>199</v>
      </c>
      <c r="B419" s="1414" t="s">
        <v>191</v>
      </c>
      <c r="C419" s="1415"/>
      <c r="D419" s="298" t="s">
        <v>200</v>
      </c>
      <c r="E419" s="298" t="s">
        <v>201</v>
      </c>
      <c r="F419" s="298" t="s">
        <v>202</v>
      </c>
      <c r="G419" s="1416"/>
      <c r="H419" s="1417"/>
      <c r="I419" s="1418"/>
    </row>
    <row r="420" spans="1:9">
      <c r="A420" s="251" t="s">
        <v>37</v>
      </c>
      <c r="B420" s="1396"/>
      <c r="C420" s="1396"/>
      <c r="D420" s="252">
        <f>'[3]بودجه ولایتی 1396'!G375+'[3]بودجه ولایتی 1396'!G370</f>
        <v>0</v>
      </c>
      <c r="E420" s="252">
        <f>'[3]بودجه ولایتی 1396'!G379</f>
        <v>0</v>
      </c>
      <c r="F420" s="253">
        <f>E420+D420</f>
        <v>0</v>
      </c>
      <c r="G420" s="1419"/>
      <c r="H420" s="1420"/>
      <c r="I420" s="1421"/>
    </row>
    <row r="421" spans="1:9">
      <c r="A421" s="254" t="s">
        <v>204</v>
      </c>
      <c r="B421" s="1396"/>
      <c r="C421" s="1396"/>
      <c r="D421" s="252">
        <v>0</v>
      </c>
      <c r="E421" s="252">
        <v>0</v>
      </c>
      <c r="F421" s="253">
        <f t="shared" ref="F421:F452" si="10">SUM(B421:E421)</f>
        <v>0</v>
      </c>
      <c r="G421" s="1397"/>
      <c r="H421" s="1398"/>
      <c r="I421" s="1399"/>
    </row>
    <row r="422" spans="1:9">
      <c r="A422" s="254" t="s">
        <v>422</v>
      </c>
      <c r="B422" s="1406"/>
      <c r="C422" s="1407"/>
      <c r="D422" s="252">
        <v>0</v>
      </c>
      <c r="E422" s="252">
        <v>0</v>
      </c>
      <c r="F422" s="253">
        <f t="shared" si="10"/>
        <v>0</v>
      </c>
      <c r="G422" s="1397"/>
      <c r="H422" s="1398"/>
      <c r="I422" s="1399"/>
    </row>
    <row r="423" spans="1:9">
      <c r="A423" s="254" t="s">
        <v>69</v>
      </c>
      <c r="B423" s="1396"/>
      <c r="C423" s="1396"/>
      <c r="D423" s="252">
        <f>'[3]بودجه ولایتی 1396'!G717</f>
        <v>0</v>
      </c>
      <c r="E423" s="252">
        <v>0</v>
      </c>
      <c r="F423" s="253">
        <f t="shared" si="10"/>
        <v>0</v>
      </c>
      <c r="G423" s="1397"/>
      <c r="H423" s="1398"/>
      <c r="I423" s="1399"/>
    </row>
    <row r="424" spans="1:9">
      <c r="A424" s="254" t="s">
        <v>59</v>
      </c>
      <c r="B424" s="1396"/>
      <c r="C424" s="1396"/>
      <c r="D424" s="252">
        <f>'[3]بودجه ولایتی 1396'!G545</f>
        <v>0</v>
      </c>
      <c r="E424" s="252">
        <v>0</v>
      </c>
      <c r="F424" s="253">
        <f>SUM(B424:E424)</f>
        <v>0</v>
      </c>
      <c r="G424" s="1397"/>
      <c r="H424" s="1398"/>
      <c r="I424" s="1399"/>
    </row>
    <row r="425" spans="1:9">
      <c r="A425" s="254" t="s">
        <v>31</v>
      </c>
      <c r="B425" s="1400"/>
      <c r="C425" s="1400"/>
      <c r="D425" s="252">
        <f>'[3]بودجه ولایتی 1396'!G574</f>
        <v>0</v>
      </c>
      <c r="E425" s="252">
        <v>0</v>
      </c>
      <c r="F425" s="253">
        <f t="shared" si="10"/>
        <v>0</v>
      </c>
      <c r="G425" s="1397"/>
      <c r="H425" s="1398"/>
      <c r="I425" s="1399"/>
    </row>
    <row r="426" spans="1:9">
      <c r="A426" s="254" t="s">
        <v>72</v>
      </c>
      <c r="B426" s="1396"/>
      <c r="C426" s="1396"/>
      <c r="D426" s="252">
        <f>'[3]بودجه ولایتی 1396'!G561</f>
        <v>0</v>
      </c>
      <c r="E426" s="252">
        <v>0</v>
      </c>
      <c r="F426" s="253">
        <f t="shared" si="10"/>
        <v>0</v>
      </c>
      <c r="G426" s="1397"/>
      <c r="H426" s="1398"/>
      <c r="I426" s="1399"/>
    </row>
    <row r="427" spans="1:9">
      <c r="A427" s="255" t="s">
        <v>73</v>
      </c>
      <c r="B427" s="1396"/>
      <c r="C427" s="1396"/>
      <c r="D427" s="252">
        <v>0</v>
      </c>
      <c r="E427" s="252">
        <v>0</v>
      </c>
      <c r="F427" s="253">
        <v>0</v>
      </c>
      <c r="G427" s="1397"/>
      <c r="H427" s="1398"/>
      <c r="I427" s="1399"/>
    </row>
    <row r="428" spans="1:9">
      <c r="A428" s="254" t="s">
        <v>58</v>
      </c>
      <c r="B428" s="1400"/>
      <c r="C428" s="1400"/>
      <c r="D428" s="252">
        <f>'[3]بودجه ولایتی 1396'!G448</f>
        <v>0</v>
      </c>
      <c r="E428" s="252">
        <v>0</v>
      </c>
      <c r="F428" s="253">
        <f t="shared" si="10"/>
        <v>0</v>
      </c>
      <c r="G428" s="1397"/>
      <c r="H428" s="1398"/>
      <c r="I428" s="1399"/>
    </row>
    <row r="429" spans="1:9">
      <c r="A429" s="254" t="s">
        <v>53</v>
      </c>
      <c r="B429" s="1396"/>
      <c r="C429" s="1396"/>
      <c r="D429" s="252">
        <f>'[3]بودجه ولایتی 1396'!G465</f>
        <v>0</v>
      </c>
      <c r="E429" s="252">
        <v>0</v>
      </c>
      <c r="F429" s="253">
        <f t="shared" si="10"/>
        <v>0</v>
      </c>
      <c r="G429" s="1397"/>
      <c r="H429" s="1398"/>
      <c r="I429" s="1399"/>
    </row>
    <row r="430" spans="1:9">
      <c r="A430" s="254" t="s">
        <v>57</v>
      </c>
      <c r="B430" s="1396"/>
      <c r="C430" s="1396"/>
      <c r="D430" s="252">
        <v>0</v>
      </c>
      <c r="E430" s="252">
        <v>0</v>
      </c>
      <c r="F430" s="253">
        <f t="shared" si="10"/>
        <v>0</v>
      </c>
      <c r="G430" s="1397"/>
      <c r="H430" s="1398"/>
      <c r="I430" s="1399"/>
    </row>
    <row r="431" spans="1:9">
      <c r="A431" s="254" t="s">
        <v>63</v>
      </c>
      <c r="B431" s="1400"/>
      <c r="C431" s="1400"/>
      <c r="D431" s="252">
        <f>'[3]بودجه ولایتی 1396'!G491</f>
        <v>0</v>
      </c>
      <c r="E431" s="252">
        <v>0</v>
      </c>
      <c r="F431" s="253">
        <f t="shared" si="10"/>
        <v>0</v>
      </c>
      <c r="G431" s="1397"/>
      <c r="H431" s="1398"/>
      <c r="I431" s="1399"/>
    </row>
    <row r="432" spans="1:9">
      <c r="A432" s="254" t="s">
        <v>41</v>
      </c>
      <c r="B432" s="1396"/>
      <c r="C432" s="1396"/>
      <c r="D432" s="252">
        <f>'[3]بودجه ولایتی 1396'!G686</f>
        <v>0</v>
      </c>
      <c r="E432" s="252">
        <v>0</v>
      </c>
      <c r="F432" s="253">
        <f t="shared" si="10"/>
        <v>0</v>
      </c>
      <c r="G432" s="1397"/>
      <c r="H432" s="1398"/>
      <c r="I432" s="1399"/>
    </row>
    <row r="433" spans="1:9">
      <c r="A433" s="255" t="s">
        <v>71</v>
      </c>
      <c r="B433" s="1396"/>
      <c r="C433" s="1396"/>
      <c r="D433" s="252">
        <f>'[3]بودجه ولایتی 1396'!G478</f>
        <v>0</v>
      </c>
      <c r="E433" s="252">
        <v>0</v>
      </c>
      <c r="F433" s="253">
        <f t="shared" si="10"/>
        <v>0</v>
      </c>
      <c r="G433" s="1397"/>
      <c r="H433" s="1398"/>
      <c r="I433" s="1399"/>
    </row>
    <row r="434" spans="1:9">
      <c r="A434" s="254" t="s">
        <v>67</v>
      </c>
      <c r="B434" s="1400"/>
      <c r="C434" s="1400"/>
      <c r="D434" s="252">
        <f>'[3]بودجه ولایتی 1396'!G630</f>
        <v>0</v>
      </c>
      <c r="E434" s="252">
        <v>0</v>
      </c>
      <c r="F434" s="253">
        <f t="shared" si="10"/>
        <v>0</v>
      </c>
      <c r="G434" s="1397"/>
      <c r="H434" s="1398"/>
      <c r="I434" s="1399"/>
    </row>
    <row r="435" spans="1:9">
      <c r="A435" s="255" t="s">
        <v>74</v>
      </c>
      <c r="B435" s="1397"/>
      <c r="C435" s="1399"/>
      <c r="D435" s="252">
        <f>'[3]بودجه ولایتی 1396'!G609</f>
        <v>0</v>
      </c>
      <c r="E435" s="252">
        <v>0</v>
      </c>
      <c r="F435" s="253">
        <f t="shared" si="10"/>
        <v>0</v>
      </c>
      <c r="G435" s="1397"/>
      <c r="H435" s="1398"/>
      <c r="I435" s="1399"/>
    </row>
    <row r="436" spans="1:9">
      <c r="A436" s="255" t="s">
        <v>75</v>
      </c>
      <c r="B436" s="1396"/>
      <c r="C436" s="1396"/>
      <c r="D436" s="252">
        <v>0</v>
      </c>
      <c r="E436" s="252">
        <v>0</v>
      </c>
      <c r="F436" s="253">
        <v>0</v>
      </c>
      <c r="G436" s="1397"/>
      <c r="H436" s="1398"/>
      <c r="I436" s="1399"/>
    </row>
    <row r="437" spans="1:9">
      <c r="A437" s="255" t="s">
        <v>32</v>
      </c>
      <c r="B437" s="1400"/>
      <c r="C437" s="1400"/>
      <c r="D437" s="252">
        <f>'[3]بودجه ولایتی 1396'!G591</f>
        <v>0</v>
      </c>
      <c r="E437" s="252">
        <v>0</v>
      </c>
      <c r="F437" s="253">
        <f>SUM(B437:E437)</f>
        <v>0</v>
      </c>
      <c r="G437" s="1397"/>
      <c r="H437" s="1398"/>
      <c r="I437" s="1399"/>
    </row>
    <row r="438" spans="1:9">
      <c r="A438" s="254" t="s">
        <v>35</v>
      </c>
      <c r="B438" s="1396"/>
      <c r="C438" s="1396"/>
      <c r="D438" s="252">
        <f>'[3]بودجه ولایتی 1396'!G702</f>
        <v>0</v>
      </c>
      <c r="E438" s="252">
        <v>0</v>
      </c>
      <c r="F438" s="253">
        <f>D438</f>
        <v>0</v>
      </c>
      <c r="G438" s="1397"/>
      <c r="H438" s="1398"/>
      <c r="I438" s="1399"/>
    </row>
    <row r="439" spans="1:9">
      <c r="A439" s="254" t="s">
        <v>205</v>
      </c>
      <c r="B439" s="1396"/>
      <c r="C439" s="1396"/>
      <c r="D439" s="252">
        <v>0</v>
      </c>
      <c r="E439" s="252">
        <v>0</v>
      </c>
      <c r="F439" s="253">
        <f t="shared" si="10"/>
        <v>0</v>
      </c>
      <c r="G439" s="1397"/>
      <c r="H439" s="1398"/>
      <c r="I439" s="1399"/>
    </row>
    <row r="440" spans="1:9">
      <c r="A440" s="254" t="s">
        <v>78</v>
      </c>
      <c r="B440" s="1400"/>
      <c r="C440" s="1400"/>
      <c r="D440" s="252">
        <v>0</v>
      </c>
      <c r="E440" s="252">
        <v>0</v>
      </c>
      <c r="F440" s="253">
        <f t="shared" si="10"/>
        <v>0</v>
      </c>
      <c r="G440" s="1397"/>
      <c r="H440" s="1398"/>
      <c r="I440" s="1399"/>
    </row>
    <row r="441" spans="1:9">
      <c r="A441" s="254" t="s">
        <v>206</v>
      </c>
      <c r="B441" s="1396"/>
      <c r="C441" s="1396"/>
      <c r="D441" s="252">
        <v>0</v>
      </c>
      <c r="E441" s="252">
        <v>0</v>
      </c>
      <c r="F441" s="253">
        <f t="shared" si="10"/>
        <v>0</v>
      </c>
      <c r="G441" s="1397"/>
      <c r="H441" s="1398"/>
      <c r="I441" s="1399"/>
    </row>
    <row r="442" spans="1:9">
      <c r="A442" s="254" t="s">
        <v>79</v>
      </c>
      <c r="B442" s="1396"/>
      <c r="C442" s="1396"/>
      <c r="D442" s="252">
        <v>0</v>
      </c>
      <c r="E442" s="252">
        <v>0</v>
      </c>
      <c r="F442" s="253">
        <f t="shared" si="10"/>
        <v>0</v>
      </c>
      <c r="G442" s="1397"/>
      <c r="H442" s="1398"/>
      <c r="I442" s="1399"/>
    </row>
    <row r="443" spans="1:9">
      <c r="A443" s="254" t="s">
        <v>80</v>
      </c>
      <c r="B443" s="1396"/>
      <c r="C443" s="1396"/>
      <c r="D443" s="256">
        <v>0</v>
      </c>
      <c r="E443" s="257">
        <v>0</v>
      </c>
      <c r="F443" s="253">
        <f t="shared" si="10"/>
        <v>0</v>
      </c>
      <c r="G443" s="1397"/>
      <c r="H443" s="1398"/>
      <c r="I443" s="1399"/>
    </row>
    <row r="444" spans="1:9">
      <c r="A444" s="254" t="s">
        <v>47</v>
      </c>
      <c r="B444" s="1397"/>
      <c r="C444" s="1399"/>
      <c r="D444" s="252" t="str">
        <f>'[3]بودجه ولایتی 1396'!G394</f>
        <v>ارزش مالی به افغانی</v>
      </c>
      <c r="E444" s="252">
        <v>0</v>
      </c>
      <c r="F444" s="253">
        <f t="shared" si="10"/>
        <v>0</v>
      </c>
      <c r="G444" s="1397"/>
      <c r="H444" s="1398"/>
      <c r="I444" s="1399"/>
    </row>
    <row r="445" spans="1:9">
      <c r="A445" s="254" t="s">
        <v>77</v>
      </c>
      <c r="B445" s="1397"/>
      <c r="C445" s="1399"/>
      <c r="D445" s="252">
        <f>'[3]بودجه ولایتی 1396'!G409</f>
        <v>0</v>
      </c>
      <c r="E445" s="252">
        <v>0</v>
      </c>
      <c r="F445" s="253">
        <f t="shared" si="10"/>
        <v>0</v>
      </c>
      <c r="G445" s="1397"/>
      <c r="H445" s="1398"/>
      <c r="I445" s="1399"/>
    </row>
    <row r="446" spans="1:9">
      <c r="A446" s="254" t="s">
        <v>56</v>
      </c>
      <c r="B446" s="1397"/>
      <c r="C446" s="1399"/>
      <c r="D446" s="252">
        <f>'[3]بودجه ولایتی 1396'!G435</f>
        <v>0</v>
      </c>
      <c r="E446" s="252">
        <v>0</v>
      </c>
      <c r="F446" s="253">
        <f t="shared" si="10"/>
        <v>0</v>
      </c>
      <c r="G446" s="1397"/>
      <c r="H446" s="1398"/>
      <c r="I446" s="1399"/>
    </row>
    <row r="447" spans="1:9">
      <c r="A447" s="254" t="s">
        <v>64</v>
      </c>
      <c r="B447" s="1396"/>
      <c r="C447" s="1396"/>
      <c r="D447" s="252">
        <f>'[3]بودجه ولایتی 1396'!G422</f>
        <v>0</v>
      </c>
      <c r="E447" s="252">
        <v>0</v>
      </c>
      <c r="F447" s="253">
        <f t="shared" si="10"/>
        <v>0</v>
      </c>
      <c r="G447" s="1397">
        <f>F447/67</f>
        <v>0</v>
      </c>
      <c r="H447" s="1398"/>
      <c r="I447" s="1399"/>
    </row>
    <row r="448" spans="1:9">
      <c r="A448" s="254" t="s">
        <v>76</v>
      </c>
      <c r="B448" s="1396"/>
      <c r="C448" s="1396"/>
      <c r="D448" s="252">
        <f>'[3]بودجه ولایتی 1396'!G504</f>
        <v>0</v>
      </c>
      <c r="E448" s="252">
        <v>0</v>
      </c>
      <c r="F448" s="253">
        <f t="shared" si="10"/>
        <v>0</v>
      </c>
      <c r="G448" s="1397"/>
      <c r="H448" s="1398"/>
      <c r="I448" s="1399"/>
    </row>
    <row r="449" spans="1:9">
      <c r="A449" s="254" t="s">
        <v>65</v>
      </c>
      <c r="B449" s="1400"/>
      <c r="C449" s="1400"/>
      <c r="D449" s="252">
        <f>'[3]بودجه ولایتی 1396'!G517</f>
        <v>0</v>
      </c>
      <c r="E449" s="252">
        <v>0</v>
      </c>
      <c r="F449" s="253">
        <f t="shared" si="10"/>
        <v>0</v>
      </c>
      <c r="G449" s="1397"/>
      <c r="H449" s="1398"/>
      <c r="I449" s="1399"/>
    </row>
    <row r="450" spans="1:9">
      <c r="A450" s="254" t="s">
        <v>62</v>
      </c>
      <c r="B450" s="1396"/>
      <c r="C450" s="1396"/>
      <c r="D450" s="252">
        <v>0</v>
      </c>
      <c r="E450" s="252">
        <v>0</v>
      </c>
      <c r="F450" s="253">
        <f t="shared" si="10"/>
        <v>0</v>
      </c>
      <c r="G450" s="1397"/>
      <c r="H450" s="1398"/>
      <c r="I450" s="1399"/>
    </row>
    <row r="451" spans="1:9">
      <c r="A451" s="254" t="s">
        <v>60</v>
      </c>
      <c r="B451" s="1396"/>
      <c r="C451" s="1396"/>
      <c r="D451" s="252">
        <f>'[3]بودجه ولایتی 1396'!G529</f>
        <v>0</v>
      </c>
      <c r="E451" s="252">
        <v>0</v>
      </c>
      <c r="F451" s="253">
        <f t="shared" si="10"/>
        <v>0</v>
      </c>
      <c r="G451" s="1397"/>
      <c r="H451" s="1398"/>
      <c r="I451" s="1399"/>
    </row>
    <row r="452" spans="1:9">
      <c r="A452" s="254" t="s">
        <v>70</v>
      </c>
      <c r="B452" s="1400"/>
      <c r="C452" s="1400"/>
      <c r="D452" s="252">
        <f>'[3]بودجه ولایتی 1396'!G650</f>
        <v>0</v>
      </c>
      <c r="E452" s="252">
        <v>0</v>
      </c>
      <c r="F452" s="253">
        <f t="shared" si="10"/>
        <v>0</v>
      </c>
      <c r="G452" s="1397"/>
      <c r="H452" s="1398"/>
      <c r="I452" s="1399"/>
    </row>
    <row r="453" spans="1:9">
      <c r="A453" s="254" t="s">
        <v>34</v>
      </c>
      <c r="B453" s="1396"/>
      <c r="C453" s="1396"/>
      <c r="D453" s="252">
        <f>'[3]بودجه ولایتی 1396'!G668</f>
        <v>0</v>
      </c>
      <c r="E453" s="252">
        <v>0</v>
      </c>
      <c r="F453" s="253">
        <f>SUM(B453:E453)</f>
        <v>0</v>
      </c>
      <c r="G453" s="1397">
        <f>F453/67</f>
        <v>0</v>
      </c>
      <c r="H453" s="1398"/>
      <c r="I453" s="1399"/>
    </row>
    <row r="454" spans="1:9">
      <c r="A454" s="258" t="s">
        <v>207</v>
      </c>
      <c r="B454" s="1401">
        <f>SUM(B420:C453)</f>
        <v>0</v>
      </c>
      <c r="C454" s="1401"/>
      <c r="D454" s="259">
        <f>SUM(D420:D453)</f>
        <v>0</v>
      </c>
      <c r="E454" s="259">
        <f>SUM(E420:E453)</f>
        <v>0</v>
      </c>
      <c r="F454" s="259">
        <f>SUM(F420:F453)</f>
        <v>0</v>
      </c>
      <c r="G454" s="1402">
        <f>F454/67</f>
        <v>0</v>
      </c>
      <c r="H454" s="1403"/>
      <c r="I454" s="1404"/>
    </row>
    <row r="455" spans="1:9">
      <c r="A455" s="1405" t="s">
        <v>208</v>
      </c>
      <c r="B455" s="1405"/>
      <c r="C455" s="1405"/>
      <c r="D455" s="1405"/>
      <c r="E455" s="1405"/>
      <c r="F455" s="1405"/>
      <c r="G455" s="1405"/>
      <c r="H455" s="1405"/>
      <c r="I455" s="1405"/>
    </row>
    <row r="456" spans="1:9">
      <c r="A456" s="1381" t="s">
        <v>209</v>
      </c>
      <c r="B456" s="1381"/>
      <c r="C456" s="1381"/>
      <c r="D456" s="1381"/>
      <c r="E456" s="1381"/>
      <c r="F456" s="1381"/>
      <c r="G456" s="1381"/>
      <c r="H456" s="1381"/>
      <c r="I456" s="1381"/>
    </row>
    <row r="457" spans="1:9">
      <c r="A457" s="1382" t="s">
        <v>210</v>
      </c>
      <c r="B457" s="1382"/>
      <c r="C457" s="1382"/>
      <c r="D457" s="1382"/>
      <c r="E457" s="1382"/>
      <c r="F457" s="1382"/>
      <c r="G457" s="1382"/>
      <c r="H457" s="1382"/>
      <c r="I457" s="1382"/>
    </row>
    <row r="458" spans="1:9">
      <c r="A458" s="1383" t="s">
        <v>211</v>
      </c>
      <c r="B458" s="1384"/>
      <c r="C458" s="1384"/>
      <c r="D458" s="1385"/>
      <c r="E458" s="1386" t="s">
        <v>212</v>
      </c>
      <c r="F458" s="1386"/>
      <c r="G458" s="1386"/>
      <c r="H458" s="299"/>
      <c r="I458" s="261" t="s">
        <v>213</v>
      </c>
    </row>
    <row r="459" spans="1:9">
      <c r="A459" s="1387" t="s">
        <v>534</v>
      </c>
      <c r="B459" s="1388"/>
      <c r="C459" s="1388"/>
      <c r="D459" s="1389"/>
      <c r="E459" s="262"/>
      <c r="F459" s="263"/>
      <c r="G459" s="264"/>
      <c r="H459" s="264"/>
      <c r="I459" s="265"/>
    </row>
    <row r="460" spans="1:9">
      <c r="A460" s="1390" t="s">
        <v>535</v>
      </c>
      <c r="B460" s="1391"/>
      <c r="C460" s="1391"/>
      <c r="D460" s="1392"/>
      <c r="E460" s="262"/>
      <c r="F460" s="263"/>
      <c r="G460" s="264"/>
      <c r="H460" s="264"/>
      <c r="I460" s="265"/>
    </row>
    <row r="461" spans="1:9">
      <c r="A461" s="1393" t="s">
        <v>536</v>
      </c>
      <c r="B461" s="1394"/>
      <c r="C461" s="1394"/>
      <c r="D461" s="1395"/>
      <c r="E461" s="262"/>
      <c r="F461" s="263"/>
      <c r="G461" s="264"/>
      <c r="H461" s="264"/>
      <c r="I461" s="265"/>
    </row>
    <row r="462" spans="1:9">
      <c r="A462" s="1365" t="s">
        <v>537</v>
      </c>
      <c r="B462" s="1366"/>
      <c r="C462" s="1366"/>
      <c r="D462" s="1367"/>
      <c r="E462" s="262"/>
      <c r="F462" s="263"/>
      <c r="G462" s="264"/>
      <c r="H462" s="264"/>
      <c r="I462" s="265"/>
    </row>
    <row r="463" spans="1:9">
      <c r="A463" s="302" t="s">
        <v>538</v>
      </c>
      <c r="B463" s="300"/>
      <c r="C463" s="300"/>
      <c r="D463" s="301"/>
      <c r="E463" s="262"/>
      <c r="F463" s="263"/>
      <c r="G463" s="264"/>
      <c r="H463" s="264"/>
      <c r="I463" s="265"/>
    </row>
    <row r="464" spans="1:9">
      <c r="A464" s="1362" t="s">
        <v>539</v>
      </c>
      <c r="B464" s="1363"/>
      <c r="C464" s="1363"/>
      <c r="D464" s="1364"/>
      <c r="E464" s="262"/>
      <c r="F464" s="263"/>
      <c r="G464" s="264"/>
      <c r="H464" s="264"/>
      <c r="I464" s="265"/>
    </row>
    <row r="465" spans="1:9">
      <c r="A465" s="1362" t="s">
        <v>540</v>
      </c>
      <c r="B465" s="1363"/>
      <c r="C465" s="1363"/>
      <c r="D465" s="1364"/>
      <c r="E465" s="262"/>
      <c r="F465" s="263"/>
      <c r="G465" s="264"/>
      <c r="H465" s="264"/>
      <c r="I465" s="265"/>
    </row>
    <row r="466" spans="1:9">
      <c r="A466" s="1365" t="s">
        <v>541</v>
      </c>
      <c r="B466" s="1366"/>
      <c r="C466" s="1366"/>
      <c r="D466" s="1367"/>
      <c r="E466" s="262"/>
      <c r="F466" s="263"/>
      <c r="G466" s="264"/>
      <c r="H466" s="264"/>
      <c r="I466" s="265"/>
    </row>
    <row r="467" spans="1:9">
      <c r="A467" s="1368" t="s">
        <v>542</v>
      </c>
      <c r="B467" s="1369"/>
      <c r="C467" s="1369"/>
      <c r="D467" s="1370"/>
      <c r="E467" s="262"/>
      <c r="F467" s="263"/>
      <c r="G467" s="264"/>
      <c r="H467" s="264"/>
      <c r="I467" s="265"/>
    </row>
    <row r="468" spans="1:9">
      <c r="A468" s="1371" t="s">
        <v>543</v>
      </c>
      <c r="B468" s="1372"/>
      <c r="C468" s="1372"/>
      <c r="D468" s="1373"/>
      <c r="E468" s="269"/>
      <c r="F468" s="270"/>
      <c r="G468" s="271"/>
      <c r="H468" s="271"/>
      <c r="I468" s="272"/>
    </row>
    <row r="469" spans="1:9">
      <c r="A469" s="1371" t="s">
        <v>544</v>
      </c>
      <c r="B469" s="1372"/>
      <c r="C469" s="1372"/>
      <c r="D469" s="1373"/>
      <c r="E469" s="269"/>
      <c r="F469" s="270"/>
      <c r="G469" s="271"/>
      <c r="H469" s="271"/>
      <c r="I469" s="272"/>
    </row>
    <row r="470" spans="1:9">
      <c r="A470" s="1371" t="s">
        <v>545</v>
      </c>
      <c r="B470" s="1372"/>
      <c r="C470" s="1372"/>
      <c r="D470" s="1373"/>
      <c r="E470" s="269"/>
      <c r="F470" s="270"/>
      <c r="G470" s="271"/>
      <c r="H470" s="271"/>
      <c r="I470" s="272"/>
    </row>
    <row r="471" spans="1:9">
      <c r="A471" s="273" t="s">
        <v>546</v>
      </c>
      <c r="B471" s="274"/>
      <c r="C471" s="274"/>
      <c r="D471" s="275"/>
      <c r="E471" s="269"/>
      <c r="F471" s="270"/>
      <c r="G471" s="271"/>
      <c r="H471" s="271"/>
      <c r="I471" s="272"/>
    </row>
    <row r="472" spans="1:9">
      <c r="A472" s="291" t="s">
        <v>214</v>
      </c>
      <c r="B472" s="291"/>
      <c r="C472" s="291"/>
      <c r="D472" s="291"/>
      <c r="E472" s="277"/>
      <c r="F472" s="1374"/>
      <c r="G472" s="1375"/>
      <c r="H472" s="1375"/>
      <c r="I472" s="1376"/>
    </row>
    <row r="473" spans="1:9" ht="108">
      <c r="A473" s="278" t="s">
        <v>215</v>
      </c>
      <c r="B473" s="279"/>
      <c r="C473" s="279"/>
      <c r="D473" s="279"/>
      <c r="E473" s="277"/>
      <c r="F473" s="1377"/>
      <c r="G473" s="1378"/>
      <c r="H473" s="1378"/>
      <c r="I473" s="1379"/>
    </row>
    <row r="474" spans="1:9" ht="144">
      <c r="A474" s="278" t="s">
        <v>217</v>
      </c>
      <c r="B474" s="279"/>
      <c r="C474" s="279"/>
      <c r="D474" s="279"/>
      <c r="E474" s="280"/>
      <c r="F474" s="1380"/>
      <c r="G474" s="1380"/>
      <c r="H474" s="1380"/>
      <c r="I474" s="1380"/>
    </row>
    <row r="475" spans="1:9">
      <c r="A475" s="280" t="s">
        <v>547</v>
      </c>
      <c r="B475" s="280"/>
      <c r="C475" s="280"/>
      <c r="D475" s="280"/>
      <c r="E475" s="281"/>
      <c r="F475" s="1357" t="s">
        <v>220</v>
      </c>
      <c r="G475" s="1357"/>
      <c r="H475" s="1357"/>
      <c r="I475" s="1357"/>
    </row>
    <row r="476" spans="1:9">
      <c r="A476" s="281" t="s">
        <v>219</v>
      </c>
      <c r="B476" s="281"/>
      <c r="C476" s="281"/>
      <c r="D476" s="281"/>
      <c r="E476" s="281"/>
      <c r="F476" s="1358"/>
      <c r="G476" s="1358"/>
      <c r="H476" s="1358"/>
      <c r="I476" s="1358"/>
    </row>
    <row r="477" spans="1:9">
      <c r="A477" s="281" t="s">
        <v>221</v>
      </c>
      <c r="B477" s="281"/>
      <c r="C477" s="281"/>
      <c r="D477" s="281"/>
      <c r="E477" s="281"/>
      <c r="F477" s="1358"/>
      <c r="G477" s="1358"/>
      <c r="H477" s="1358"/>
      <c r="I477" s="1358"/>
    </row>
    <row r="478" spans="1:9">
      <c r="A478" s="281" t="s">
        <v>222</v>
      </c>
      <c r="B478" s="281"/>
      <c r="C478" s="281"/>
      <c r="D478" s="281"/>
      <c r="E478" s="291"/>
      <c r="F478" s="291"/>
      <c r="G478" s="291"/>
      <c r="H478" s="291"/>
      <c r="I478" s="291"/>
    </row>
    <row r="479" spans="1:9">
      <c r="A479" s="291" t="s">
        <v>223</v>
      </c>
      <c r="B479" s="291"/>
      <c r="C479" s="291"/>
      <c r="D479" s="291"/>
      <c r="E479" s="282"/>
      <c r="F479" s="282"/>
      <c r="G479" s="282"/>
      <c r="H479" s="282"/>
      <c r="I479" s="283"/>
    </row>
    <row r="480" spans="1:9" ht="382.5">
      <c r="A480" s="284" t="s">
        <v>548</v>
      </c>
      <c r="B480" s="282"/>
      <c r="C480" s="282"/>
      <c r="D480" s="282"/>
      <c r="E480" s="285"/>
      <c r="F480" s="285"/>
      <c r="G480" s="285"/>
      <c r="H480" s="285"/>
      <c r="I480" s="285"/>
    </row>
    <row r="481" spans="1:9">
      <c r="A481" s="285" t="s">
        <v>225</v>
      </c>
      <c r="B481" s="285"/>
      <c r="C481" s="285"/>
      <c r="D481" s="285"/>
      <c r="E481" s="1359" t="s">
        <v>549</v>
      </c>
      <c r="F481" s="1359"/>
      <c r="G481" s="303" t="s">
        <v>156</v>
      </c>
      <c r="H481" s="303"/>
      <c r="I481" s="303" t="s">
        <v>181</v>
      </c>
    </row>
    <row r="482" spans="1:9">
      <c r="A482" s="1359" t="s">
        <v>226</v>
      </c>
      <c r="B482" s="1359"/>
      <c r="C482" s="303" t="s">
        <v>550</v>
      </c>
      <c r="D482" s="303" t="s">
        <v>228</v>
      </c>
      <c r="E482" s="1360" t="s">
        <v>551</v>
      </c>
      <c r="F482" s="1361"/>
      <c r="G482" s="225">
        <v>799107362</v>
      </c>
      <c r="H482" s="225"/>
      <c r="I482" s="287" t="s">
        <v>552</v>
      </c>
    </row>
    <row r="483" spans="1:9">
      <c r="A483" s="1361" t="s">
        <v>519</v>
      </c>
      <c r="B483" s="1361"/>
      <c r="C483" s="288" t="s">
        <v>553</v>
      </c>
      <c r="D483" s="288" t="s">
        <v>554</v>
      </c>
    </row>
  </sheetData>
  <mergeCells count="702">
    <mergeCell ref="F475:I475"/>
    <mergeCell ref="F476:I476"/>
    <mergeCell ref="F477:I477"/>
    <mergeCell ref="E481:F481"/>
    <mergeCell ref="A482:B482"/>
    <mergeCell ref="E482:F482"/>
    <mergeCell ref="A483:B483"/>
    <mergeCell ref="A465:D465"/>
    <mergeCell ref="A466:D466"/>
    <mergeCell ref="A467:D467"/>
    <mergeCell ref="A468:D468"/>
    <mergeCell ref="A469:D469"/>
    <mergeCell ref="A470:D470"/>
    <mergeCell ref="F472:I472"/>
    <mergeCell ref="F473:I473"/>
    <mergeCell ref="F474:I474"/>
    <mergeCell ref="A456:I456"/>
    <mergeCell ref="A457:I457"/>
    <mergeCell ref="A458:D458"/>
    <mergeCell ref="E458:G458"/>
    <mergeCell ref="A459:D459"/>
    <mergeCell ref="A460:D460"/>
    <mergeCell ref="A461:D461"/>
    <mergeCell ref="A462:D462"/>
    <mergeCell ref="A464:D464"/>
    <mergeCell ref="B451:C451"/>
    <mergeCell ref="G451:I451"/>
    <mergeCell ref="B452:C452"/>
    <mergeCell ref="G452:I452"/>
    <mergeCell ref="B453:C453"/>
    <mergeCell ref="G453:I453"/>
    <mergeCell ref="B454:C454"/>
    <mergeCell ref="G454:I454"/>
    <mergeCell ref="A455:I455"/>
    <mergeCell ref="B446:C446"/>
    <mergeCell ref="G446:I446"/>
    <mergeCell ref="B447:C447"/>
    <mergeCell ref="G447:I447"/>
    <mergeCell ref="B448:C448"/>
    <mergeCell ref="G448:I448"/>
    <mergeCell ref="B449:C449"/>
    <mergeCell ref="G449:I449"/>
    <mergeCell ref="B450:C450"/>
    <mergeCell ref="G450:I450"/>
    <mergeCell ref="B441:C441"/>
    <mergeCell ref="G441:I441"/>
    <mergeCell ref="B442:C442"/>
    <mergeCell ref="G442:I442"/>
    <mergeCell ref="B443:C443"/>
    <mergeCell ref="G443:I443"/>
    <mergeCell ref="B444:C444"/>
    <mergeCell ref="G444:I444"/>
    <mergeCell ref="B445:C445"/>
    <mergeCell ref="G445:I445"/>
    <mergeCell ref="B436:C436"/>
    <mergeCell ref="G436:I436"/>
    <mergeCell ref="B437:C437"/>
    <mergeCell ref="G437:I437"/>
    <mergeCell ref="B438:C438"/>
    <mergeCell ref="G438:I438"/>
    <mergeCell ref="B439:C439"/>
    <mergeCell ref="G439:I439"/>
    <mergeCell ref="B440:C440"/>
    <mergeCell ref="G440:I440"/>
    <mergeCell ref="B431:C431"/>
    <mergeCell ref="G431:I431"/>
    <mergeCell ref="B432:C432"/>
    <mergeCell ref="G432:I432"/>
    <mergeCell ref="B433:C433"/>
    <mergeCell ref="G433:I433"/>
    <mergeCell ref="B434:C434"/>
    <mergeCell ref="G434:I434"/>
    <mergeCell ref="B435:C435"/>
    <mergeCell ref="G435:I435"/>
    <mergeCell ref="B426:C426"/>
    <mergeCell ref="G426:I426"/>
    <mergeCell ref="B427:C427"/>
    <mergeCell ref="G427:I427"/>
    <mergeCell ref="B428:C428"/>
    <mergeCell ref="G428:I428"/>
    <mergeCell ref="B429:C429"/>
    <mergeCell ref="G429:I429"/>
    <mergeCell ref="B430:C430"/>
    <mergeCell ref="G430:I430"/>
    <mergeCell ref="B421:C421"/>
    <mergeCell ref="G421:I421"/>
    <mergeCell ref="B422:C422"/>
    <mergeCell ref="G422:I422"/>
    <mergeCell ref="B423:C423"/>
    <mergeCell ref="G423:I423"/>
    <mergeCell ref="B424:C424"/>
    <mergeCell ref="G424:I424"/>
    <mergeCell ref="B425:C425"/>
    <mergeCell ref="G425:I425"/>
    <mergeCell ref="A413:C413"/>
    <mergeCell ref="A414:C414"/>
    <mergeCell ref="A415:C415"/>
    <mergeCell ref="A416:C416"/>
    <mergeCell ref="D418:F418"/>
    <mergeCell ref="G418:I418"/>
    <mergeCell ref="B419:C419"/>
    <mergeCell ref="G419:I419"/>
    <mergeCell ref="B420:C420"/>
    <mergeCell ref="G420:I420"/>
    <mergeCell ref="B404:C404"/>
    <mergeCell ref="F404:I404"/>
    <mergeCell ref="A405:C406"/>
    <mergeCell ref="D405:I405"/>
    <mergeCell ref="A407:C407"/>
    <mergeCell ref="A408:C408"/>
    <mergeCell ref="A409:C409"/>
    <mergeCell ref="A410:C410"/>
    <mergeCell ref="A411:C412"/>
    <mergeCell ref="D411:I411"/>
    <mergeCell ref="A398:I398"/>
    <mergeCell ref="A399:I399"/>
    <mergeCell ref="A400:I400"/>
    <mergeCell ref="A401:A402"/>
    <mergeCell ref="B401:C402"/>
    <mergeCell ref="D401:E401"/>
    <mergeCell ref="F401:I401"/>
    <mergeCell ref="F402:G402"/>
    <mergeCell ref="B403:C403"/>
    <mergeCell ref="F403:G403"/>
    <mergeCell ref="A393:D393"/>
    <mergeCell ref="E393:I393"/>
    <mergeCell ref="A394:D394"/>
    <mergeCell ref="E394:I394"/>
    <mergeCell ref="A395:D395"/>
    <mergeCell ref="E395:I395"/>
    <mergeCell ref="A396:D396"/>
    <mergeCell ref="E396:I396"/>
    <mergeCell ref="A397:D397"/>
    <mergeCell ref="E397:I397"/>
    <mergeCell ref="A389:B389"/>
    <mergeCell ref="F389:G389"/>
    <mergeCell ref="A390:B390"/>
    <mergeCell ref="C390:D390"/>
    <mergeCell ref="F390:G390"/>
    <mergeCell ref="A391:B391"/>
    <mergeCell ref="C391:D391"/>
    <mergeCell ref="F391:G391"/>
    <mergeCell ref="A392:B392"/>
    <mergeCell ref="C392:D392"/>
    <mergeCell ref="E392:I392"/>
    <mergeCell ref="A382:D382"/>
    <mergeCell ref="E382:I382"/>
    <mergeCell ref="A383:D383"/>
    <mergeCell ref="E383:I383"/>
    <mergeCell ref="A384:I384"/>
    <mergeCell ref="A385:I385"/>
    <mergeCell ref="A386:I386"/>
    <mergeCell ref="A387:I387"/>
    <mergeCell ref="A388:I388"/>
    <mergeCell ref="A377:D377"/>
    <mergeCell ref="E377:I377"/>
    <mergeCell ref="A378:D378"/>
    <mergeCell ref="E378:I378"/>
    <mergeCell ref="A379:D379"/>
    <mergeCell ref="E379:I379"/>
    <mergeCell ref="A380:D380"/>
    <mergeCell ref="E380:I380"/>
    <mergeCell ref="A381:D381"/>
    <mergeCell ref="E381:I381"/>
    <mergeCell ref="A364:I369"/>
    <mergeCell ref="A370:I370"/>
    <mergeCell ref="A371:I371"/>
    <mergeCell ref="A372:I372"/>
    <mergeCell ref="A373:I373"/>
    <mergeCell ref="A374:C374"/>
    <mergeCell ref="D374:E374"/>
    <mergeCell ref="A375:I375"/>
    <mergeCell ref="A376:B376"/>
    <mergeCell ref="C376:D376"/>
    <mergeCell ref="A1:I1"/>
    <mergeCell ref="A2:I2"/>
    <mergeCell ref="A3:I3"/>
    <mergeCell ref="A4:I4"/>
    <mergeCell ref="A5:C5"/>
    <mergeCell ref="D5:E5"/>
    <mergeCell ref="A6:I6"/>
    <mergeCell ref="A7:B7"/>
    <mergeCell ref="C7:D7"/>
    <mergeCell ref="A8:D8"/>
    <mergeCell ref="E8:I8"/>
    <mergeCell ref="A9:D9"/>
    <mergeCell ref="E9:I9"/>
    <mergeCell ref="A10:D10"/>
    <mergeCell ref="E10:I10"/>
    <mergeCell ref="A11:D11"/>
    <mergeCell ref="E11:I11"/>
    <mergeCell ref="A12:D12"/>
    <mergeCell ref="E12:I12"/>
    <mergeCell ref="A13:D13"/>
    <mergeCell ref="E13:I13"/>
    <mergeCell ref="A14:D14"/>
    <mergeCell ref="E14:I14"/>
    <mergeCell ref="A15:I15"/>
    <mergeCell ref="A16:I19"/>
    <mergeCell ref="A20:I20"/>
    <mergeCell ref="A21:I24"/>
    <mergeCell ref="A25:I25"/>
    <mergeCell ref="A26:I26"/>
    <mergeCell ref="A27:B27"/>
    <mergeCell ref="F27:H27"/>
    <mergeCell ref="A28:B28"/>
    <mergeCell ref="C28:D28"/>
    <mergeCell ref="F28:H28"/>
    <mergeCell ref="A29:B29"/>
    <mergeCell ref="C29:D29"/>
    <mergeCell ref="F29:H29"/>
    <mergeCell ref="A30:B30"/>
    <mergeCell ref="C30:D30"/>
    <mergeCell ref="E30:I30"/>
    <mergeCell ref="A31:D31"/>
    <mergeCell ref="E31:I31"/>
    <mergeCell ref="A32:D32"/>
    <mergeCell ref="E32:I32"/>
    <mergeCell ref="A33:D33"/>
    <mergeCell ref="E33:I33"/>
    <mergeCell ref="A34:D34"/>
    <mergeCell ref="E34:I34"/>
    <mergeCell ref="A35:D35"/>
    <mergeCell ref="E35:I35"/>
    <mergeCell ref="A36:I36"/>
    <mergeCell ref="A37:I40"/>
    <mergeCell ref="A41:I41"/>
    <mergeCell ref="A42:A43"/>
    <mergeCell ref="B42:C43"/>
    <mergeCell ref="D42:E42"/>
    <mergeCell ref="F42:I42"/>
    <mergeCell ref="F43:H43"/>
    <mergeCell ref="B44:C44"/>
    <mergeCell ref="F44:H44"/>
    <mergeCell ref="B45:C45"/>
    <mergeCell ref="F45:I45"/>
    <mergeCell ref="A46:C47"/>
    <mergeCell ref="D46:I46"/>
    <mergeCell ref="A48:C48"/>
    <mergeCell ref="A49:C49"/>
    <mergeCell ref="A50:C50"/>
    <mergeCell ref="A51:C51"/>
    <mergeCell ref="A52:C53"/>
    <mergeCell ref="D52:I52"/>
    <mergeCell ref="A54:C54"/>
    <mergeCell ref="A55:C55"/>
    <mergeCell ref="A56:C56"/>
    <mergeCell ref="A57:C57"/>
    <mergeCell ref="D59:F59"/>
    <mergeCell ref="H59:I59"/>
    <mergeCell ref="B60:C60"/>
    <mergeCell ref="H60:I60"/>
    <mergeCell ref="B61:C61"/>
    <mergeCell ref="H61:I61"/>
    <mergeCell ref="B62:C62"/>
    <mergeCell ref="H62:I62"/>
    <mergeCell ref="B63:C63"/>
    <mergeCell ref="H63:I63"/>
    <mergeCell ref="B64:C64"/>
    <mergeCell ref="H64:I64"/>
    <mergeCell ref="B65:C65"/>
    <mergeCell ref="H65:I65"/>
    <mergeCell ref="B66:C66"/>
    <mergeCell ref="H66:I66"/>
    <mergeCell ref="B67:C67"/>
    <mergeCell ref="H67:I67"/>
    <mergeCell ref="B68:C68"/>
    <mergeCell ref="H68:I68"/>
    <mergeCell ref="B69:C69"/>
    <mergeCell ref="H69:I69"/>
    <mergeCell ref="B70:C70"/>
    <mergeCell ref="H70:I70"/>
    <mergeCell ref="B71:C71"/>
    <mergeCell ref="H71:I71"/>
    <mergeCell ref="B72:C72"/>
    <mergeCell ref="H72:I72"/>
    <mergeCell ref="B73:C73"/>
    <mergeCell ref="H73:I73"/>
    <mergeCell ref="B74:C74"/>
    <mergeCell ref="H74:I74"/>
    <mergeCell ref="B75:C75"/>
    <mergeCell ref="H75:I75"/>
    <mergeCell ref="B76:C76"/>
    <mergeCell ref="H76:I76"/>
    <mergeCell ref="B77:C77"/>
    <mergeCell ref="H77:I77"/>
    <mergeCell ref="B78:C78"/>
    <mergeCell ref="H78:I78"/>
    <mergeCell ref="B79:C79"/>
    <mergeCell ref="H79:I79"/>
    <mergeCell ref="B80:C80"/>
    <mergeCell ref="H80:I80"/>
    <mergeCell ref="B81:C81"/>
    <mergeCell ref="H81:I81"/>
    <mergeCell ref="B82:C82"/>
    <mergeCell ref="H82:I82"/>
    <mergeCell ref="B83:C83"/>
    <mergeCell ref="H83:I83"/>
    <mergeCell ref="B84:C84"/>
    <mergeCell ref="H84:I84"/>
    <mergeCell ref="B85:C85"/>
    <mergeCell ref="H85:I85"/>
    <mergeCell ref="B86:C86"/>
    <mergeCell ref="H86:I86"/>
    <mergeCell ref="B87:C87"/>
    <mergeCell ref="H87:I87"/>
    <mergeCell ref="B88:C88"/>
    <mergeCell ref="H88:I88"/>
    <mergeCell ref="B89:C89"/>
    <mergeCell ref="H89:I89"/>
    <mergeCell ref="B90:C90"/>
    <mergeCell ref="H90:I90"/>
    <mergeCell ref="B91:C91"/>
    <mergeCell ref="H91:I91"/>
    <mergeCell ref="B92:C92"/>
    <mergeCell ref="H92:I92"/>
    <mergeCell ref="B93:C93"/>
    <mergeCell ref="H93:I93"/>
    <mergeCell ref="B94:C94"/>
    <mergeCell ref="H94:I94"/>
    <mergeCell ref="B95:C95"/>
    <mergeCell ref="H95:I95"/>
    <mergeCell ref="B96:C96"/>
    <mergeCell ref="H96:I96"/>
    <mergeCell ref="A97:I97"/>
    <mergeCell ref="A98:I98"/>
    <mergeCell ref="A99:I99"/>
    <mergeCell ref="A100:D100"/>
    <mergeCell ref="E100:H100"/>
    <mergeCell ref="A101:D101"/>
    <mergeCell ref="E101:H101"/>
    <mergeCell ref="A102:I102"/>
    <mergeCell ref="A103:E103"/>
    <mergeCell ref="F103:I103"/>
    <mergeCell ref="A104:E104"/>
    <mergeCell ref="F104:I104"/>
    <mergeCell ref="A105:E105"/>
    <mergeCell ref="F105:I105"/>
    <mergeCell ref="A106:E106"/>
    <mergeCell ref="F106:I106"/>
    <mergeCell ref="A107:E107"/>
    <mergeCell ref="F107:I107"/>
    <mergeCell ref="A108:E108"/>
    <mergeCell ref="F108:I108"/>
    <mergeCell ref="A109:I109"/>
    <mergeCell ref="A110:I112"/>
    <mergeCell ref="A113:I114"/>
    <mergeCell ref="A115:I115"/>
    <mergeCell ref="A116:B116"/>
    <mergeCell ref="E116:F116"/>
    <mergeCell ref="A117:B117"/>
    <mergeCell ref="E117:F117"/>
    <mergeCell ref="A118:I118"/>
    <mergeCell ref="A119:I119"/>
    <mergeCell ref="A120:B120"/>
    <mergeCell ref="C120:D120"/>
    <mergeCell ref="A121:B121"/>
    <mergeCell ref="C121:D121"/>
    <mergeCell ref="A122:I122"/>
    <mergeCell ref="A123:B123"/>
    <mergeCell ref="C123:D123"/>
    <mergeCell ref="A124:I124"/>
    <mergeCell ref="A125:B125"/>
    <mergeCell ref="C125:D125"/>
    <mergeCell ref="G126:H126"/>
    <mergeCell ref="A148:E148"/>
    <mergeCell ref="F148:L148"/>
    <mergeCell ref="A130:L131"/>
    <mergeCell ref="A132:L132"/>
    <mergeCell ref="A133:C133"/>
    <mergeCell ref="F133:L133"/>
    <mergeCell ref="J134:L134"/>
    <mergeCell ref="A127:B127"/>
    <mergeCell ref="G127:H127"/>
    <mergeCell ref="A128:B128"/>
    <mergeCell ref="G128:H128"/>
    <mergeCell ref="A134:C145"/>
    <mergeCell ref="D134:D145"/>
    <mergeCell ref="E134:E145"/>
    <mergeCell ref="F134:I135"/>
    <mergeCell ref="F136:I136"/>
    <mergeCell ref="F145:I145"/>
    <mergeCell ref="A146:L146"/>
    <mergeCell ref="A147:E147"/>
    <mergeCell ref="F147:L147"/>
    <mergeCell ref="K136:K144"/>
    <mergeCell ref="L136:L144"/>
    <mergeCell ref="F137:I137"/>
    <mergeCell ref="F138:I138"/>
    <mergeCell ref="F154:L154"/>
    <mergeCell ref="J155:L155"/>
    <mergeCell ref="A155:A156"/>
    <mergeCell ref="B155:D156"/>
    <mergeCell ref="E155:E156"/>
    <mergeCell ref="F155:G155"/>
    <mergeCell ref="B157:D158"/>
    <mergeCell ref="E157:E158"/>
    <mergeCell ref="A159:E159"/>
    <mergeCell ref="C164:D164"/>
    <mergeCell ref="C165:D165"/>
    <mergeCell ref="C166:D166"/>
    <mergeCell ref="C167:D167"/>
    <mergeCell ref="C168:D168"/>
    <mergeCell ref="C169:D169"/>
    <mergeCell ref="A162:A163"/>
    <mergeCell ref="B162:B163"/>
    <mergeCell ref="C162:F162"/>
    <mergeCell ref="C175:D175"/>
    <mergeCell ref="C176:D176"/>
    <mergeCell ref="C177:D177"/>
    <mergeCell ref="C178:D178"/>
    <mergeCell ref="C179:D179"/>
    <mergeCell ref="C170:D170"/>
    <mergeCell ref="C171:D171"/>
    <mergeCell ref="C172:D172"/>
    <mergeCell ref="C173:D173"/>
    <mergeCell ref="C174:D174"/>
    <mergeCell ref="C185:D185"/>
    <mergeCell ref="C186:D186"/>
    <mergeCell ref="C187:D187"/>
    <mergeCell ref="C188:D188"/>
    <mergeCell ref="C189:D189"/>
    <mergeCell ref="C180:D180"/>
    <mergeCell ref="C181:D181"/>
    <mergeCell ref="C182:D182"/>
    <mergeCell ref="C183:D183"/>
    <mergeCell ref="C184:D184"/>
    <mergeCell ref="C195:D195"/>
    <mergeCell ref="C196:D196"/>
    <mergeCell ref="C197:D197"/>
    <mergeCell ref="C198:D198"/>
    <mergeCell ref="C199:D199"/>
    <mergeCell ref="C190:D190"/>
    <mergeCell ref="C191:D191"/>
    <mergeCell ref="C192:D192"/>
    <mergeCell ref="C193:D193"/>
    <mergeCell ref="C194:D194"/>
    <mergeCell ref="A205:D205"/>
    <mergeCell ref="A200:B200"/>
    <mergeCell ref="C200:D200"/>
    <mergeCell ref="A201:L201"/>
    <mergeCell ref="A202:D204"/>
    <mergeCell ref="E202:F202"/>
    <mergeCell ref="G202:L202"/>
    <mergeCell ref="E203:F203"/>
    <mergeCell ref="G203:H203"/>
    <mergeCell ref="I203:J203"/>
    <mergeCell ref="K203:L203"/>
    <mergeCell ref="A216:G216"/>
    <mergeCell ref="H216:K216"/>
    <mergeCell ref="A206:L206"/>
    <mergeCell ref="A207:C207"/>
    <mergeCell ref="D207:L207"/>
    <mergeCell ref="A208:C208"/>
    <mergeCell ref="D208:L208"/>
    <mergeCell ref="A209:C209"/>
    <mergeCell ref="D209:L209"/>
    <mergeCell ref="H211:I211"/>
    <mergeCell ref="J211:K211"/>
    <mergeCell ref="J212:K212"/>
    <mergeCell ref="A213:G213"/>
    <mergeCell ref="H213:I213"/>
    <mergeCell ref="J213:K213"/>
    <mergeCell ref="A214:G214"/>
    <mergeCell ref="H214:K214"/>
    <mergeCell ref="A215:G215"/>
    <mergeCell ref="H215:I215"/>
    <mergeCell ref="J215:K215"/>
    <mergeCell ref="A212:G212"/>
    <mergeCell ref="H212:I212"/>
    <mergeCell ref="A217:I217"/>
    <mergeCell ref="A218:I220"/>
    <mergeCell ref="A221:I222"/>
    <mergeCell ref="A223:I223"/>
    <mergeCell ref="A224:B224"/>
    <mergeCell ref="E224:F224"/>
    <mergeCell ref="A225:B225"/>
    <mergeCell ref="E225:F225"/>
    <mergeCell ref="A226:I226"/>
    <mergeCell ref="A227:I227"/>
    <mergeCell ref="A228:B228"/>
    <mergeCell ref="C228:D228"/>
    <mergeCell ref="A229:B229"/>
    <mergeCell ref="C229:D229"/>
    <mergeCell ref="A230:B230"/>
    <mergeCell ref="C230:D230"/>
    <mergeCell ref="A231:B231"/>
    <mergeCell ref="C231:D231"/>
    <mergeCell ref="A238:B238"/>
    <mergeCell ref="C238:D238"/>
    <mergeCell ref="G239:H239"/>
    <mergeCell ref="A240:B240"/>
    <mergeCell ref="G240:H240"/>
    <mergeCell ref="A241:B241"/>
    <mergeCell ref="G241:H241"/>
    <mergeCell ref="A232:B232"/>
    <mergeCell ref="C232:D232"/>
    <mergeCell ref="A233:I233"/>
    <mergeCell ref="A234:B234"/>
    <mergeCell ref="C234:D234"/>
    <mergeCell ref="A235:B235"/>
    <mergeCell ref="C235:D235"/>
    <mergeCell ref="C236:D236"/>
    <mergeCell ref="A237:I237"/>
    <mergeCell ref="F139:I139"/>
    <mergeCell ref="F140:I140"/>
    <mergeCell ref="F141:I141"/>
    <mergeCell ref="F142:I142"/>
    <mergeCell ref="F143:I143"/>
    <mergeCell ref="F144:I144"/>
    <mergeCell ref="K162:K163"/>
    <mergeCell ref="L162:L163"/>
    <mergeCell ref="C163:D163"/>
    <mergeCell ref="A160:L160"/>
    <mergeCell ref="C161:E161"/>
    <mergeCell ref="G161:I161"/>
    <mergeCell ref="G162:I162"/>
    <mergeCell ref="J162:J163"/>
    <mergeCell ref="A149:E149"/>
    <mergeCell ref="F149:L149"/>
    <mergeCell ref="A150:E150"/>
    <mergeCell ref="F150:L150"/>
    <mergeCell ref="A151:E151"/>
    <mergeCell ref="F151:L151"/>
    <mergeCell ref="A152:E152"/>
    <mergeCell ref="F152:L152"/>
    <mergeCell ref="A153:L153"/>
    <mergeCell ref="A154:E154"/>
    <mergeCell ref="A244:I249"/>
    <mergeCell ref="A250:I250"/>
    <mergeCell ref="A251:I251"/>
    <mergeCell ref="A252:I252"/>
    <mergeCell ref="A253:I253"/>
    <mergeCell ref="A254:C254"/>
    <mergeCell ref="D254:E254"/>
    <mergeCell ref="A255:I255"/>
    <mergeCell ref="A256:B256"/>
    <mergeCell ref="C256:D256"/>
    <mergeCell ref="A257:D257"/>
    <mergeCell ref="E257:I257"/>
    <mergeCell ref="A258:D258"/>
    <mergeCell ref="E258:I258"/>
    <mergeCell ref="A259:D259"/>
    <mergeCell ref="E259:I259"/>
    <mergeCell ref="A260:D260"/>
    <mergeCell ref="E260:I260"/>
    <mergeCell ref="A261:D261"/>
    <mergeCell ref="E261:I261"/>
    <mergeCell ref="A262:D262"/>
    <mergeCell ref="E262:I262"/>
    <mergeCell ref="A263:D263"/>
    <mergeCell ref="E263:I263"/>
    <mergeCell ref="A264:I264"/>
    <mergeCell ref="A265:I265"/>
    <mergeCell ref="A266:I266"/>
    <mergeCell ref="A267:I267"/>
    <mergeCell ref="A268:I268"/>
    <mergeCell ref="A269:B269"/>
    <mergeCell ref="F269:G269"/>
    <mergeCell ref="A270:B270"/>
    <mergeCell ref="C270:D270"/>
    <mergeCell ref="F270:G270"/>
    <mergeCell ref="A271:B271"/>
    <mergeCell ref="C271:D271"/>
    <mergeCell ref="F271:G271"/>
    <mergeCell ref="A272:B272"/>
    <mergeCell ref="C272:D272"/>
    <mergeCell ref="E272:I272"/>
    <mergeCell ref="A273:D273"/>
    <mergeCell ref="E273:I273"/>
    <mergeCell ref="A274:D274"/>
    <mergeCell ref="E274:I274"/>
    <mergeCell ref="A275:D275"/>
    <mergeCell ref="E275:I275"/>
    <mergeCell ref="A276:D276"/>
    <mergeCell ref="E276:I276"/>
    <mergeCell ref="A277:D277"/>
    <mergeCell ref="E277:I277"/>
    <mergeCell ref="A278:I278"/>
    <mergeCell ref="A279:I279"/>
    <mergeCell ref="A280:I280"/>
    <mergeCell ref="A281:A282"/>
    <mergeCell ref="B281:C282"/>
    <mergeCell ref="D281:E281"/>
    <mergeCell ref="F281:I281"/>
    <mergeCell ref="F282:G282"/>
    <mergeCell ref="B283:C283"/>
    <mergeCell ref="F283:G283"/>
    <mergeCell ref="B284:C284"/>
    <mergeCell ref="F284:I284"/>
    <mergeCell ref="A285:C286"/>
    <mergeCell ref="D285:I285"/>
    <mergeCell ref="A287:C287"/>
    <mergeCell ref="A288:C288"/>
    <mergeCell ref="A289:C289"/>
    <mergeCell ref="A290:C290"/>
    <mergeCell ref="A291:C292"/>
    <mergeCell ref="D291:I291"/>
    <mergeCell ref="A293:C293"/>
    <mergeCell ref="A294:C294"/>
    <mergeCell ref="A295:C295"/>
    <mergeCell ref="A296:C296"/>
    <mergeCell ref="D298:F298"/>
    <mergeCell ref="G298:I298"/>
    <mergeCell ref="B299:C299"/>
    <mergeCell ref="G299:I299"/>
    <mergeCell ref="B300:C300"/>
    <mergeCell ref="G300:I300"/>
    <mergeCell ref="B301:C301"/>
    <mergeCell ref="G301:I301"/>
    <mergeCell ref="B302:C302"/>
    <mergeCell ref="G302:I302"/>
    <mergeCell ref="B303:C303"/>
    <mergeCell ref="G303:I303"/>
    <mergeCell ref="B304:C304"/>
    <mergeCell ref="G304:I304"/>
    <mergeCell ref="B305:C305"/>
    <mergeCell ref="G305:I305"/>
    <mergeCell ref="B306:C306"/>
    <mergeCell ref="G306:I306"/>
    <mergeCell ref="B307:C307"/>
    <mergeCell ref="G307:I307"/>
    <mergeCell ref="B308:C308"/>
    <mergeCell ref="G308:I308"/>
    <mergeCell ref="B309:C309"/>
    <mergeCell ref="G309:I309"/>
    <mergeCell ref="B310:C310"/>
    <mergeCell ref="G310:I310"/>
    <mergeCell ref="B311:C311"/>
    <mergeCell ref="G311:I311"/>
    <mergeCell ref="B312:C312"/>
    <mergeCell ref="G312:I312"/>
    <mergeCell ref="B313:C313"/>
    <mergeCell ref="G313:I313"/>
    <mergeCell ref="B314:C314"/>
    <mergeCell ref="G314:I314"/>
    <mergeCell ref="B315:C315"/>
    <mergeCell ref="G315:I315"/>
    <mergeCell ref="B316:C316"/>
    <mergeCell ref="G316:I316"/>
    <mergeCell ref="B317:C317"/>
    <mergeCell ref="G317:I317"/>
    <mergeCell ref="B318:C318"/>
    <mergeCell ref="G318:I318"/>
    <mergeCell ref="B319:C319"/>
    <mergeCell ref="G319:I319"/>
    <mergeCell ref="B320:C320"/>
    <mergeCell ref="G320:I320"/>
    <mergeCell ref="B321:C321"/>
    <mergeCell ref="G321:I321"/>
    <mergeCell ref="B322:C322"/>
    <mergeCell ref="G322:I322"/>
    <mergeCell ref="B323:C323"/>
    <mergeCell ref="G323:I323"/>
    <mergeCell ref="B324:C324"/>
    <mergeCell ref="G324:I324"/>
    <mergeCell ref="B325:C325"/>
    <mergeCell ref="G325:I325"/>
    <mergeCell ref="B326:C326"/>
    <mergeCell ref="G326:I326"/>
    <mergeCell ref="B327:C327"/>
    <mergeCell ref="G327:I327"/>
    <mergeCell ref="B328:C328"/>
    <mergeCell ref="G328:I328"/>
    <mergeCell ref="B329:C329"/>
    <mergeCell ref="G329:I329"/>
    <mergeCell ref="B330:C330"/>
    <mergeCell ref="G330:I330"/>
    <mergeCell ref="B331:C331"/>
    <mergeCell ref="G331:I331"/>
    <mergeCell ref="B332:C332"/>
    <mergeCell ref="G332:I332"/>
    <mergeCell ref="B333:C333"/>
    <mergeCell ref="G333:I333"/>
    <mergeCell ref="B334:C334"/>
    <mergeCell ref="G334:I334"/>
    <mergeCell ref="A335:I335"/>
    <mergeCell ref="A336:I336"/>
    <mergeCell ref="A337:I337"/>
    <mergeCell ref="A338:D338"/>
    <mergeCell ref="E338:G338"/>
    <mergeCell ref="A339:D339"/>
    <mergeCell ref="A340:D340"/>
    <mergeCell ref="A341:D341"/>
    <mergeCell ref="A342:D342"/>
    <mergeCell ref="A344:D344"/>
    <mergeCell ref="F355:I355"/>
    <mergeCell ref="F356:I356"/>
    <mergeCell ref="F357:I357"/>
    <mergeCell ref="E361:F361"/>
    <mergeCell ref="A362:B362"/>
    <mergeCell ref="E362:F362"/>
    <mergeCell ref="A363:B363"/>
    <mergeCell ref="A345:D345"/>
    <mergeCell ref="A346:D346"/>
    <mergeCell ref="A347:D347"/>
    <mergeCell ref="A348:D348"/>
    <mergeCell ref="A349:D349"/>
    <mergeCell ref="A350:D350"/>
    <mergeCell ref="F352:I352"/>
    <mergeCell ref="F353:I353"/>
    <mergeCell ref="F354:I354"/>
  </mergeCells>
  <hyperlinks>
    <hyperlink ref="F28" r:id="rId1"/>
    <hyperlink ref="E117" r:id="rId2"/>
    <hyperlink ref="F133" r:id="rId3" display="refauddin.amini@mail.gov.af"/>
    <hyperlink ref="E225" r:id="rId4"/>
    <hyperlink ref="F270" r:id="rId5"/>
    <hyperlink ref="E362" r:id="rId6"/>
    <hyperlink ref="F390" r:id="rId7"/>
    <hyperlink ref="E482" r:id="rId8"/>
  </hyperlinks>
  <printOptions horizontalCentered="1"/>
  <pageMargins left="0.25" right="0.25" top="0.75" bottom="0.75" header="0.3" footer="0.3"/>
  <pageSetup paperSize="9" scale="64" orientation="portrait" r:id="rId9"/>
  <drawing r:id="rId10"/>
  <legacyDrawing r:id="rId11"/>
  <mc:AlternateContent xmlns:mc="http://schemas.openxmlformats.org/markup-compatibility/2006">
    <mc:Choice Requires="x14">
      <controls>
        <mc:AlternateContent xmlns:mc="http://schemas.openxmlformats.org/markup-compatibility/2006">
          <mc:Choice Requires="x14">
            <control shapeId="10241" r:id="rId12" name="Check Box 1">
              <controlPr locked="0" defaultSize="0" autoFill="0" autoLine="0" autoPict="0" altText="">
                <anchor moveWithCells="1" sizeWithCells="1">
                  <from>
                    <xdr:col>7</xdr:col>
                    <xdr:colOff>266700</xdr:colOff>
                    <xdr:row>0</xdr:row>
                    <xdr:rowOff>0</xdr:rowOff>
                  </from>
                  <to>
                    <xdr:col>7</xdr:col>
                    <xdr:colOff>647700</xdr:colOff>
                    <xdr:row>0</xdr:row>
                    <xdr:rowOff>0</xdr:rowOff>
                  </to>
                </anchor>
              </controlPr>
            </control>
          </mc:Choice>
        </mc:AlternateContent>
        <mc:AlternateContent xmlns:mc="http://schemas.openxmlformats.org/markup-compatibility/2006">
          <mc:Choice Requires="x14">
            <control shapeId="10242" r:id="rId13" name="Check Box 2">
              <controlPr locked="0" defaultSize="0" autoFill="0" autoLine="0" autoPict="0" altText="">
                <anchor moveWithCells="1" sizeWithCells="1">
                  <from>
                    <xdr:col>8</xdr:col>
                    <xdr:colOff>438150</xdr:colOff>
                    <xdr:row>0</xdr:row>
                    <xdr:rowOff>0</xdr:rowOff>
                  </from>
                  <to>
                    <xdr:col>8</xdr:col>
                    <xdr:colOff>819150</xdr:colOff>
                    <xdr:row>0</xdr:row>
                    <xdr:rowOff>0</xdr:rowOff>
                  </to>
                </anchor>
              </controlPr>
            </control>
          </mc:Choice>
        </mc:AlternateContent>
        <mc:AlternateContent xmlns:mc="http://schemas.openxmlformats.org/markup-compatibility/2006">
          <mc:Choice Requires="x14">
            <control shapeId="10243" r:id="rId14" name="Check Box 3">
              <controlPr locked="0" defaultSize="0" autoFill="0" autoLine="0" autoPict="0" altText="">
                <anchor moveWithCells="1" sizeWithCells="1">
                  <from>
                    <xdr:col>7</xdr:col>
                    <xdr:colOff>266700</xdr:colOff>
                    <xdr:row>0</xdr:row>
                    <xdr:rowOff>0</xdr:rowOff>
                  </from>
                  <to>
                    <xdr:col>7</xdr:col>
                    <xdr:colOff>647700</xdr:colOff>
                    <xdr:row>0</xdr:row>
                    <xdr:rowOff>0</xdr:rowOff>
                  </to>
                </anchor>
              </controlPr>
            </control>
          </mc:Choice>
        </mc:AlternateContent>
        <mc:AlternateContent xmlns:mc="http://schemas.openxmlformats.org/markup-compatibility/2006">
          <mc:Choice Requires="x14">
            <control shapeId="10244" r:id="rId15" name="Check Box 4">
              <controlPr locked="0" defaultSize="0" autoFill="0" autoLine="0" autoPict="0" altText="">
                <anchor moveWithCells="1" sizeWithCells="1">
                  <from>
                    <xdr:col>8</xdr:col>
                    <xdr:colOff>438150</xdr:colOff>
                    <xdr:row>0</xdr:row>
                    <xdr:rowOff>0</xdr:rowOff>
                  </from>
                  <to>
                    <xdr:col>8</xdr:col>
                    <xdr:colOff>819150</xdr:colOff>
                    <xdr:row>0</xdr:row>
                    <xdr:rowOff>0</xdr:rowOff>
                  </to>
                </anchor>
              </controlPr>
            </control>
          </mc:Choice>
        </mc:AlternateContent>
        <mc:AlternateContent xmlns:mc="http://schemas.openxmlformats.org/markup-compatibility/2006">
          <mc:Choice Requires="x14">
            <control shapeId="10245" r:id="rId16" name="Check Box 5">
              <controlPr locked="0" defaultSize="0" autoFill="0" autoLine="0" autoPict="0" altText="">
                <anchor moveWithCells="1" sizeWithCells="1">
                  <from>
                    <xdr:col>7</xdr:col>
                    <xdr:colOff>266700</xdr:colOff>
                    <xdr:row>6</xdr:row>
                    <xdr:rowOff>38100</xdr:rowOff>
                  </from>
                  <to>
                    <xdr:col>7</xdr:col>
                    <xdr:colOff>647700</xdr:colOff>
                    <xdr:row>6</xdr:row>
                    <xdr:rowOff>142875</xdr:rowOff>
                  </to>
                </anchor>
              </controlPr>
            </control>
          </mc:Choice>
        </mc:AlternateContent>
        <mc:AlternateContent xmlns:mc="http://schemas.openxmlformats.org/markup-compatibility/2006">
          <mc:Choice Requires="x14">
            <control shapeId="10246" r:id="rId17" name="Check Box 6">
              <controlPr locked="0" defaultSize="0" autoFill="0" autoLine="0" autoPict="0" altText="">
                <anchor moveWithCells="1" sizeWithCells="1">
                  <from>
                    <xdr:col>8</xdr:col>
                    <xdr:colOff>438150</xdr:colOff>
                    <xdr:row>6</xdr:row>
                    <xdr:rowOff>28575</xdr:rowOff>
                  </from>
                  <to>
                    <xdr:col>8</xdr:col>
                    <xdr:colOff>819150</xdr:colOff>
                    <xdr:row>6</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G1:BR87"/>
  <sheetViews>
    <sheetView topLeftCell="BE28" workbookViewId="0">
      <selection activeCell="BO38" sqref="BO38"/>
    </sheetView>
  </sheetViews>
  <sheetFormatPr defaultRowHeight="15"/>
  <cols>
    <col min="63" max="63" width="11.7109375" customWidth="1"/>
    <col min="64" max="64" width="15" customWidth="1"/>
    <col min="65" max="65" width="12.7109375" customWidth="1"/>
    <col min="66" max="66" width="10.7109375" customWidth="1"/>
    <col min="67" max="67" width="13" customWidth="1"/>
    <col min="68" max="68" width="17.140625" customWidth="1"/>
    <col min="69" max="69" width="16" customWidth="1"/>
    <col min="70" max="70" width="20.7109375" customWidth="1"/>
  </cols>
  <sheetData>
    <row r="1" spans="59:70">
      <c r="BG1" s="1563" t="s">
        <v>370</v>
      </c>
      <c r="BH1" s="1563"/>
      <c r="BI1" s="1563"/>
      <c r="BJ1" s="1563"/>
      <c r="BK1" s="1563"/>
      <c r="BL1" s="1563"/>
      <c r="BM1" s="1563"/>
      <c r="BN1" s="1563"/>
      <c r="BO1" s="1563"/>
      <c r="BP1" s="1563"/>
      <c r="BQ1" s="1563"/>
      <c r="BR1" s="1563"/>
    </row>
    <row r="2" spans="59:70">
      <c r="BG2" s="1563"/>
      <c r="BH2" s="1563"/>
      <c r="BI2" s="1563"/>
      <c r="BJ2" s="1563"/>
      <c r="BK2" s="1563"/>
      <c r="BL2" s="1563"/>
      <c r="BM2" s="1563"/>
      <c r="BN2" s="1563"/>
      <c r="BO2" s="1563"/>
      <c r="BP2" s="1563"/>
      <c r="BQ2" s="1563"/>
      <c r="BR2" s="1563"/>
    </row>
    <row r="3" spans="59:70" ht="19.5" thickBot="1">
      <c r="BG3" s="1564" t="s">
        <v>371</v>
      </c>
      <c r="BH3" s="1564"/>
      <c r="BI3" s="1564"/>
      <c r="BJ3" s="1564"/>
      <c r="BK3" s="1564"/>
      <c r="BL3" s="1564"/>
      <c r="BM3" s="1564"/>
      <c r="BN3" s="1564"/>
      <c r="BO3" s="1564"/>
      <c r="BP3" s="1564"/>
      <c r="BQ3" s="1564"/>
      <c r="BR3" s="1564"/>
    </row>
    <row r="4" spans="59:70" ht="31.5">
      <c r="BG4" s="1565" t="s">
        <v>372</v>
      </c>
      <c r="BH4" s="1566"/>
      <c r="BI4" s="1566"/>
      <c r="BJ4" s="130" t="s">
        <v>373</v>
      </c>
      <c r="BK4" s="131" t="s">
        <v>374</v>
      </c>
      <c r="BL4" s="1566" t="s">
        <v>375</v>
      </c>
      <c r="BM4" s="1566"/>
      <c r="BN4" s="1566"/>
      <c r="BO4" s="1566"/>
      <c r="BP4" s="1566"/>
      <c r="BQ4" s="1566"/>
      <c r="BR4" s="1567"/>
    </row>
    <row r="5" spans="59:70" ht="15.75">
      <c r="BG5" s="1571" t="s">
        <v>376</v>
      </c>
      <c r="BH5" s="1572"/>
      <c r="BI5" s="1573"/>
      <c r="BJ5" s="1580" t="s">
        <v>377</v>
      </c>
      <c r="BK5" s="1580" t="s">
        <v>335</v>
      </c>
      <c r="BL5" s="1583" t="s">
        <v>378</v>
      </c>
      <c r="BM5" s="1584"/>
      <c r="BN5" s="1584"/>
      <c r="BO5" s="1585"/>
      <c r="BP5" s="1568" t="s">
        <v>379</v>
      </c>
      <c r="BQ5" s="1569"/>
      <c r="BR5" s="1570"/>
    </row>
    <row r="6" spans="59:70" ht="15.75">
      <c r="BG6" s="1574"/>
      <c r="BH6" s="1575"/>
      <c r="BI6" s="1576"/>
      <c r="BJ6" s="1581"/>
      <c r="BK6" s="1581"/>
      <c r="BL6" s="1586"/>
      <c r="BM6" s="1587"/>
      <c r="BN6" s="1587"/>
      <c r="BO6" s="1588"/>
      <c r="BP6" s="132">
        <v>1396</v>
      </c>
      <c r="BQ6" s="132">
        <v>1397</v>
      </c>
      <c r="BR6" s="133">
        <v>1398</v>
      </c>
    </row>
    <row r="7" spans="59:70">
      <c r="BG7" s="1574"/>
      <c r="BH7" s="1575"/>
      <c r="BI7" s="1576"/>
      <c r="BJ7" s="1581"/>
      <c r="BK7" s="1581"/>
      <c r="BL7" s="1459" t="s">
        <v>380</v>
      </c>
      <c r="BM7" s="1460"/>
      <c r="BN7" s="1460"/>
      <c r="BO7" s="1461"/>
      <c r="BP7" s="134">
        <f>1024000/67</f>
        <v>15283.582089552239</v>
      </c>
      <c r="BQ7" s="1593">
        <f>18786502/67</f>
        <v>280395.55223880598</v>
      </c>
      <c r="BR7" s="1596">
        <f>19968402/67</f>
        <v>298035.85074626864</v>
      </c>
    </row>
    <row r="8" spans="59:70">
      <c r="BG8" s="1574"/>
      <c r="BH8" s="1575"/>
      <c r="BI8" s="1576"/>
      <c r="BJ8" s="1581"/>
      <c r="BK8" s="1581"/>
      <c r="BL8" s="1458" t="s">
        <v>381</v>
      </c>
      <c r="BM8" s="1458"/>
      <c r="BN8" s="1458"/>
      <c r="BO8" s="1458"/>
      <c r="BP8" s="134">
        <f>13317496/67</f>
        <v>198768.59701492538</v>
      </c>
      <c r="BQ8" s="1594"/>
      <c r="BR8" s="1597"/>
    </row>
    <row r="9" spans="59:70">
      <c r="BG9" s="1574"/>
      <c r="BH9" s="1575"/>
      <c r="BI9" s="1576"/>
      <c r="BJ9" s="1581"/>
      <c r="BK9" s="1581"/>
      <c r="BL9" s="1458" t="s">
        <v>382</v>
      </c>
      <c r="BM9" s="1458"/>
      <c r="BN9" s="1458"/>
      <c r="BO9" s="1458"/>
      <c r="BP9" s="135">
        <f>3912000/67</f>
        <v>58388.059701492537</v>
      </c>
      <c r="BQ9" s="1594"/>
      <c r="BR9" s="1597"/>
    </row>
    <row r="10" spans="59:70">
      <c r="BG10" s="1574"/>
      <c r="BH10" s="1575"/>
      <c r="BI10" s="1576"/>
      <c r="BJ10" s="1581"/>
      <c r="BK10" s="1581"/>
      <c r="BL10" s="1458" t="s">
        <v>383</v>
      </c>
      <c r="BM10" s="1458"/>
      <c r="BN10" s="1458"/>
      <c r="BO10" s="1458"/>
      <c r="BP10" s="135">
        <f>36936000/67</f>
        <v>551283.58208955219</v>
      </c>
      <c r="BQ10" s="1594"/>
      <c r="BR10" s="1597"/>
    </row>
    <row r="11" spans="59:70">
      <c r="BG11" s="1574"/>
      <c r="BH11" s="1575"/>
      <c r="BI11" s="1576"/>
      <c r="BJ11" s="1581"/>
      <c r="BK11" s="1581"/>
      <c r="BL11" s="1459" t="s">
        <v>384</v>
      </c>
      <c r="BM11" s="1460"/>
      <c r="BN11" s="1460"/>
      <c r="BO11" s="1461"/>
      <c r="BP11" s="136">
        <f>7560000/67</f>
        <v>112835.82089552238</v>
      </c>
      <c r="BQ11" s="1594"/>
      <c r="BR11" s="1597"/>
    </row>
    <row r="12" spans="59:70">
      <c r="BG12" s="1574"/>
      <c r="BH12" s="1575"/>
      <c r="BI12" s="1576"/>
      <c r="BJ12" s="1581"/>
      <c r="BK12" s="1581"/>
      <c r="BL12" s="1459" t="s">
        <v>385</v>
      </c>
      <c r="BM12" s="1460"/>
      <c r="BN12" s="1460"/>
      <c r="BO12" s="1461"/>
      <c r="BP12" s="136">
        <f>200000/67</f>
        <v>2985.0746268656717</v>
      </c>
      <c r="BQ12" s="1594"/>
      <c r="BR12" s="1597"/>
    </row>
    <row r="13" spans="59:70">
      <c r="BG13" s="1574"/>
      <c r="BH13" s="1575"/>
      <c r="BI13" s="1576"/>
      <c r="BJ13" s="1581"/>
      <c r="BK13" s="1581"/>
      <c r="BL13" s="1459" t="s">
        <v>386</v>
      </c>
      <c r="BM13" s="1460"/>
      <c r="BN13" s="1460"/>
      <c r="BO13" s="1461"/>
      <c r="BP13" s="136">
        <f>700000/67</f>
        <v>10447.76119402985</v>
      </c>
      <c r="BQ13" s="1594"/>
      <c r="BR13" s="1597"/>
    </row>
    <row r="14" spans="59:70">
      <c r="BG14" s="1574"/>
      <c r="BH14" s="1575"/>
      <c r="BI14" s="1576"/>
      <c r="BJ14" s="1581"/>
      <c r="BK14" s="1581"/>
      <c r="BL14" s="1462" t="s">
        <v>387</v>
      </c>
      <c r="BM14" s="1463"/>
      <c r="BN14" s="1463"/>
      <c r="BO14" s="1464"/>
      <c r="BP14" s="136">
        <f>2800000/67</f>
        <v>41791.044776119401</v>
      </c>
      <c r="BQ14" s="1594"/>
      <c r="BR14" s="1597"/>
    </row>
    <row r="15" spans="59:70">
      <c r="BG15" s="1574"/>
      <c r="BH15" s="1575"/>
      <c r="BI15" s="1576"/>
      <c r="BJ15" s="1581"/>
      <c r="BK15" s="1581"/>
      <c r="BL15" s="1459" t="s">
        <v>388</v>
      </c>
      <c r="BM15" s="1460"/>
      <c r="BN15" s="1460"/>
      <c r="BO15" s="1461"/>
      <c r="BP15" s="136">
        <f>1420000/67</f>
        <v>21194.029850746268</v>
      </c>
      <c r="BQ15" s="1595"/>
      <c r="BR15" s="1598"/>
    </row>
    <row r="16" spans="59:70" ht="16.5" thickBot="1">
      <c r="BG16" s="1577"/>
      <c r="BH16" s="1578"/>
      <c r="BI16" s="1579"/>
      <c r="BJ16" s="1582"/>
      <c r="BK16" s="1582"/>
      <c r="BL16" s="1589"/>
      <c r="BM16" s="1589"/>
      <c r="BN16" s="1589"/>
      <c r="BO16" s="1589"/>
      <c r="BP16" s="137">
        <f>SUM(BP7:BP15)</f>
        <v>1012977.5522388059</v>
      </c>
      <c r="BQ16" s="137">
        <f t="shared" ref="BQ16:BR16" si="0">SUM(BQ7:BQ11)</f>
        <v>280395.55223880598</v>
      </c>
      <c r="BR16" s="137">
        <f t="shared" si="0"/>
        <v>298035.85074626864</v>
      </c>
    </row>
    <row r="17" spans="59:70" ht="19.5" thickBot="1">
      <c r="BG17" s="1564" t="s">
        <v>389</v>
      </c>
      <c r="BH17" s="1564"/>
      <c r="BI17" s="1564"/>
      <c r="BJ17" s="1564"/>
      <c r="BK17" s="1564"/>
      <c r="BL17" s="1564"/>
      <c r="BM17" s="1564"/>
      <c r="BN17" s="1564"/>
      <c r="BO17" s="1564"/>
      <c r="BP17" s="1564"/>
      <c r="BQ17" s="1564"/>
      <c r="BR17" s="1564"/>
    </row>
    <row r="18" spans="59:70" ht="15.75">
      <c r="BG18" s="1590" t="s">
        <v>390</v>
      </c>
      <c r="BH18" s="1591"/>
      <c r="BI18" s="1591"/>
      <c r="BJ18" s="1591"/>
      <c r="BK18" s="1592"/>
      <c r="BL18" s="1566" t="s">
        <v>391</v>
      </c>
      <c r="BM18" s="1566"/>
      <c r="BN18" s="1566"/>
      <c r="BO18" s="1566"/>
      <c r="BP18" s="1566"/>
      <c r="BQ18" s="1566"/>
      <c r="BR18" s="1567"/>
    </row>
    <row r="19" spans="59:70">
      <c r="BG19" s="1458" t="s">
        <v>392</v>
      </c>
      <c r="BH19" s="1458"/>
      <c r="BI19" s="1458"/>
      <c r="BJ19" s="1458"/>
      <c r="BK19" s="1458"/>
      <c r="BL19" s="1458" t="s">
        <v>393</v>
      </c>
      <c r="BM19" s="1458"/>
      <c r="BN19" s="1458"/>
      <c r="BO19" s="1458"/>
      <c r="BP19" s="1458"/>
      <c r="BQ19" s="1458"/>
      <c r="BR19" s="1473"/>
    </row>
    <row r="20" spans="59:70">
      <c r="BG20" s="1459" t="s">
        <v>394</v>
      </c>
      <c r="BH20" s="1460"/>
      <c r="BI20" s="1460"/>
      <c r="BJ20" s="1460"/>
      <c r="BK20" s="1461"/>
      <c r="BL20" s="1458" t="s">
        <v>395</v>
      </c>
      <c r="BM20" s="1458"/>
      <c r="BN20" s="1458"/>
      <c r="BO20" s="1458"/>
      <c r="BP20" s="1458"/>
      <c r="BQ20" s="1458"/>
      <c r="BR20" s="1473"/>
    </row>
    <row r="21" spans="59:70">
      <c r="BG21" s="1458" t="s">
        <v>396</v>
      </c>
      <c r="BH21" s="1458"/>
      <c r="BI21" s="1458"/>
      <c r="BJ21" s="1458"/>
      <c r="BK21" s="1458"/>
      <c r="BL21" s="1458" t="s">
        <v>396</v>
      </c>
      <c r="BM21" s="1458"/>
      <c r="BN21" s="1458"/>
      <c r="BO21" s="1458"/>
      <c r="BP21" s="1458"/>
      <c r="BQ21" s="1458"/>
      <c r="BR21" s="1473"/>
    </row>
    <row r="22" spans="59:70">
      <c r="BG22" s="1458" t="s">
        <v>397</v>
      </c>
      <c r="BH22" s="1458"/>
      <c r="BI22" s="1458"/>
      <c r="BJ22" s="1458"/>
      <c r="BK22" s="1458"/>
      <c r="BL22" s="1458" t="s">
        <v>398</v>
      </c>
      <c r="BM22" s="1458"/>
      <c r="BN22" s="1458"/>
      <c r="BO22" s="1458"/>
      <c r="BP22" s="1458"/>
      <c r="BQ22" s="1458"/>
      <c r="BR22" s="1473"/>
    </row>
    <row r="23" spans="59:70" ht="15.75" thickBot="1">
      <c r="BG23" s="1474"/>
      <c r="BH23" s="1475"/>
      <c r="BI23" s="1475"/>
      <c r="BJ23" s="1475"/>
      <c r="BK23" s="1475"/>
      <c r="BL23" s="1474" t="s">
        <v>399</v>
      </c>
      <c r="BM23" s="1475"/>
      <c r="BN23" s="1475"/>
      <c r="BO23" s="1475"/>
      <c r="BP23" s="1475"/>
      <c r="BQ23" s="1475"/>
      <c r="BR23" s="1476"/>
    </row>
    <row r="24" spans="59:70" ht="19.5" thickBot="1">
      <c r="BG24" s="1477" t="s">
        <v>400</v>
      </c>
      <c r="BH24" s="1477"/>
      <c r="BI24" s="1477"/>
      <c r="BJ24" s="1477"/>
      <c r="BK24" s="1477"/>
      <c r="BL24" s="1477"/>
      <c r="BM24" s="1477"/>
      <c r="BN24" s="1477"/>
      <c r="BO24" s="1477"/>
      <c r="BP24" s="1477"/>
      <c r="BQ24" s="1477"/>
      <c r="BR24" s="1477"/>
    </row>
    <row r="25" spans="59:70" ht="15.75">
      <c r="BG25" s="1478" t="s">
        <v>401</v>
      </c>
      <c r="BH25" s="1479"/>
      <c r="BI25" s="1479"/>
      <c r="BJ25" s="1479"/>
      <c r="BK25" s="1479"/>
      <c r="BL25" s="1543" t="s">
        <v>402</v>
      </c>
      <c r="BM25" s="1544"/>
      <c r="BN25" s="1544"/>
      <c r="BO25" s="1544"/>
      <c r="BP25" s="1544"/>
      <c r="BQ25" s="1544"/>
      <c r="BR25" s="1545"/>
    </row>
    <row r="26" spans="59:70" ht="38.25">
      <c r="BG26" s="1548" t="s">
        <v>297</v>
      </c>
      <c r="BH26" s="1549" t="s">
        <v>372</v>
      </c>
      <c r="BI26" s="1550"/>
      <c r="BJ26" s="1550"/>
      <c r="BK26" s="1549" t="s">
        <v>403</v>
      </c>
      <c r="BL26" s="1551" t="s">
        <v>404</v>
      </c>
      <c r="BM26" s="1551"/>
      <c r="BN26" s="138" t="s">
        <v>405</v>
      </c>
      <c r="BO26" s="138" t="s">
        <v>406</v>
      </c>
      <c r="BP26" s="1546" t="s">
        <v>407</v>
      </c>
      <c r="BQ26" s="1546"/>
      <c r="BR26" s="1547"/>
    </row>
    <row r="27" spans="59:70" ht="38.25">
      <c r="BG27" s="1548"/>
      <c r="BH27" s="1550"/>
      <c r="BI27" s="1550"/>
      <c r="BJ27" s="1550"/>
      <c r="BK27" s="1549"/>
      <c r="BL27" s="138" t="s">
        <v>408</v>
      </c>
      <c r="BM27" s="138" t="s">
        <v>409</v>
      </c>
      <c r="BN27" s="139">
        <v>1395</v>
      </c>
      <c r="BO27" s="140">
        <v>1395</v>
      </c>
      <c r="BP27" s="140">
        <v>1396</v>
      </c>
      <c r="BQ27" s="140">
        <v>1397</v>
      </c>
      <c r="BR27" s="141">
        <v>1398</v>
      </c>
    </row>
    <row r="28" spans="59:70">
      <c r="BG28" s="142">
        <v>22</v>
      </c>
      <c r="BH28" s="1552"/>
      <c r="BI28" s="1553"/>
      <c r="BJ28" s="1554"/>
      <c r="BK28" s="1558"/>
      <c r="BL28" s="143">
        <v>0</v>
      </c>
      <c r="BM28" s="143">
        <f>21687000/67</f>
        <v>323686.56716417911</v>
      </c>
      <c r="BN28" s="144">
        <v>0.4</v>
      </c>
      <c r="BO28" s="143">
        <f>21687000/67</f>
        <v>323686.56716417911</v>
      </c>
      <c r="BP28" s="143">
        <f>19673496/67</f>
        <v>293634.26865671639</v>
      </c>
      <c r="BQ28" s="145">
        <f>BP71</f>
        <v>300395.55223880603</v>
      </c>
      <c r="BR28" s="146">
        <f>BQ71</f>
        <v>323035.85074626876</v>
      </c>
    </row>
    <row r="29" spans="59:70">
      <c r="BG29" s="142">
        <v>25</v>
      </c>
      <c r="BH29" s="1555"/>
      <c r="BI29" s="1556"/>
      <c r="BJ29" s="1557"/>
      <c r="BK29" s="1559"/>
      <c r="BL29" s="143">
        <v>0</v>
      </c>
      <c r="BM29" s="143">
        <f>363000/67</f>
        <v>5417.9104477611936</v>
      </c>
      <c r="BN29" s="144">
        <v>1</v>
      </c>
      <c r="BO29" s="143">
        <f>363000/67</f>
        <v>5417.9104477611936</v>
      </c>
      <c r="BP29" s="143">
        <f>48196000/67</f>
        <v>719343.28358208959</v>
      </c>
      <c r="BQ29" s="145"/>
      <c r="BR29" s="146"/>
    </row>
    <row r="30" spans="59:70" ht="18.75" thickBot="1">
      <c r="BG30" s="1560" t="s">
        <v>410</v>
      </c>
      <c r="BH30" s="1561"/>
      <c r="BI30" s="1561"/>
      <c r="BJ30" s="1561"/>
      <c r="BK30" s="1562"/>
      <c r="BL30" s="147">
        <f t="shared" ref="BL30:BR30" si="1">SUM(BL28:BL29)</f>
        <v>0</v>
      </c>
      <c r="BM30" s="147">
        <f t="shared" si="1"/>
        <v>329104.4776119403</v>
      </c>
      <c r="BN30" s="148">
        <f>SUM(BN28:BN29)</f>
        <v>1.4</v>
      </c>
      <c r="BO30" s="147">
        <f>SUM(BO28:BO29)</f>
        <v>329104.4776119403</v>
      </c>
      <c r="BP30" s="147">
        <f t="shared" si="1"/>
        <v>1012977.5522388059</v>
      </c>
      <c r="BQ30" s="147">
        <f t="shared" si="1"/>
        <v>300395.55223880603</v>
      </c>
      <c r="BR30" s="149">
        <f t="shared" si="1"/>
        <v>323035.85074626876</v>
      </c>
    </row>
    <row r="31" spans="59:70" ht="18.75">
      <c r="BG31" s="1470" t="s">
        <v>411</v>
      </c>
      <c r="BH31" s="1470"/>
      <c r="BI31" s="1470"/>
      <c r="BJ31" s="1470"/>
      <c r="BK31" s="1470"/>
      <c r="BL31" s="1470"/>
      <c r="BM31" s="1470"/>
      <c r="BN31" s="1470"/>
      <c r="BO31" s="1470"/>
      <c r="BP31" s="1470"/>
      <c r="BQ31" s="1470"/>
      <c r="BR31" s="1470"/>
    </row>
    <row r="32" spans="59:70">
      <c r="BG32" s="2"/>
      <c r="BH32" s="2"/>
      <c r="BI32" s="1471"/>
      <c r="BJ32" s="1471"/>
      <c r="BK32" s="1471"/>
      <c r="BL32" s="2"/>
      <c r="BM32" s="1471"/>
      <c r="BN32" s="1471"/>
      <c r="BO32" s="1471"/>
      <c r="BP32" s="2"/>
      <c r="BQ32" s="2"/>
      <c r="BR32" s="2"/>
    </row>
    <row r="33" spans="59:70" ht="15.75">
      <c r="BG33" s="1467" t="s">
        <v>88</v>
      </c>
      <c r="BH33" s="1467" t="s">
        <v>412</v>
      </c>
      <c r="BI33" s="1540" t="s">
        <v>413</v>
      </c>
      <c r="BJ33" s="1541"/>
      <c r="BK33" s="1541"/>
      <c r="BL33" s="1542"/>
      <c r="BM33" s="1472" t="s">
        <v>414</v>
      </c>
      <c r="BN33" s="1472"/>
      <c r="BO33" s="1472"/>
      <c r="BP33" s="1465" t="s">
        <v>415</v>
      </c>
      <c r="BQ33" s="1465" t="s">
        <v>416</v>
      </c>
      <c r="BR33" s="1467"/>
    </row>
    <row r="34" spans="59:70" ht="47.25">
      <c r="BG34" s="1468"/>
      <c r="BH34" s="1468"/>
      <c r="BI34" s="1469" t="s">
        <v>417</v>
      </c>
      <c r="BJ34" s="1469"/>
      <c r="BK34" s="150" t="s">
        <v>418</v>
      </c>
      <c r="BL34" s="151" t="s">
        <v>190</v>
      </c>
      <c r="BM34" s="152" t="s">
        <v>419</v>
      </c>
      <c r="BN34" s="152" t="s">
        <v>420</v>
      </c>
      <c r="BO34" s="152" t="s">
        <v>190</v>
      </c>
      <c r="BP34" s="1466"/>
      <c r="BQ34" s="1466"/>
      <c r="BR34" s="1468"/>
    </row>
    <row r="35" spans="59:70" ht="15.75">
      <c r="BG35" s="113">
        <v>1</v>
      </c>
      <c r="BH35" s="5" t="s">
        <v>37</v>
      </c>
      <c r="BI35" s="1539">
        <f>514000/67</f>
        <v>7671.6417910447763</v>
      </c>
      <c r="BJ35" s="1539"/>
      <c r="BK35" s="153">
        <v>6965.2388059701489</v>
      </c>
      <c r="BL35" s="154">
        <f t="shared" ref="BL35:BL69" si="2">BK35+BI35</f>
        <v>14636.880597014926</v>
      </c>
      <c r="BM35" s="155">
        <v>0</v>
      </c>
      <c r="BN35" s="156">
        <v>0</v>
      </c>
      <c r="BO35" s="157">
        <f>BM35+BN35</f>
        <v>0</v>
      </c>
      <c r="BP35" s="158">
        <v>20000</v>
      </c>
      <c r="BQ35" s="158">
        <v>25000</v>
      </c>
      <c r="BR35" s="159"/>
    </row>
    <row r="36" spans="59:70" ht="15.75">
      <c r="BG36" s="113">
        <v>2</v>
      </c>
      <c r="BH36" s="5" t="s">
        <v>421</v>
      </c>
      <c r="BI36" s="1539">
        <v>0</v>
      </c>
      <c r="BJ36" s="1539"/>
      <c r="BK36" s="156">
        <v>0</v>
      </c>
      <c r="BL36" s="154">
        <f t="shared" si="2"/>
        <v>0</v>
      </c>
      <c r="BM36" s="155">
        <v>0</v>
      </c>
      <c r="BN36" s="156">
        <v>0</v>
      </c>
      <c r="BO36" s="157">
        <f t="shared" ref="BO36:BO68" si="3">BM36+BN36</f>
        <v>0</v>
      </c>
      <c r="BP36" s="158">
        <v>0</v>
      </c>
      <c r="BQ36" s="158">
        <v>0</v>
      </c>
      <c r="BR36" s="159"/>
    </row>
    <row r="37" spans="59:70" ht="15.75">
      <c r="BG37" s="113">
        <v>3</v>
      </c>
      <c r="BH37" s="5" t="s">
        <v>204</v>
      </c>
      <c r="BI37" s="1539">
        <v>0</v>
      </c>
      <c r="BJ37" s="1539"/>
      <c r="BK37" s="156">
        <v>6383.0895522388064</v>
      </c>
      <c r="BL37" s="154">
        <f t="shared" si="2"/>
        <v>6383.0895522388064</v>
      </c>
      <c r="BM37" s="155">
        <v>6323.3880597014922</v>
      </c>
      <c r="BN37" s="156">
        <v>0</v>
      </c>
      <c r="BO37" s="157">
        <f t="shared" si="3"/>
        <v>6323.3880597014922</v>
      </c>
      <c r="BP37" s="158">
        <v>4830.8507462686566</v>
      </c>
      <c r="BQ37" s="158">
        <v>4830.8507462686566</v>
      </c>
      <c r="BR37" s="159"/>
    </row>
    <row r="38" spans="59:70" ht="15.75">
      <c r="BG38" s="113">
        <v>4</v>
      </c>
      <c r="BH38" s="5" t="s">
        <v>66</v>
      </c>
      <c r="BI38" s="1539">
        <f>387030/67</f>
        <v>5776.5671641791041</v>
      </c>
      <c r="BJ38" s="1539"/>
      <c r="BK38" s="156">
        <v>14248.313432835821</v>
      </c>
      <c r="BL38" s="154">
        <f t="shared" si="2"/>
        <v>20024.880597014926</v>
      </c>
      <c r="BM38" s="155">
        <v>18771.149253731342</v>
      </c>
      <c r="BN38" s="156">
        <v>0</v>
      </c>
      <c r="BO38" s="157">
        <f t="shared" si="3"/>
        <v>18771.149253731342</v>
      </c>
      <c r="BP38" s="158">
        <v>17278.611940298506</v>
      </c>
      <c r="BQ38" s="158">
        <v>17278.611940298506</v>
      </c>
      <c r="BR38" s="159"/>
    </row>
    <row r="39" spans="59:70" ht="15.75">
      <c r="BG39" s="113">
        <v>5</v>
      </c>
      <c r="BH39" s="5" t="s">
        <v>422</v>
      </c>
      <c r="BI39" s="1539">
        <f>912420/67</f>
        <v>13618.208955223881</v>
      </c>
      <c r="BJ39" s="1539"/>
      <c r="BK39" s="156">
        <v>1202.686567164179</v>
      </c>
      <c r="BL39" s="154">
        <f t="shared" si="2"/>
        <v>14820.89552238806</v>
      </c>
      <c r="BM39" s="155">
        <v>5522.3880597014922</v>
      </c>
      <c r="BN39" s="156">
        <v>236656.71641791044</v>
      </c>
      <c r="BO39" s="157">
        <f t="shared" si="3"/>
        <v>242179.10447761192</v>
      </c>
      <c r="BP39" s="158">
        <v>7238.8059701492539</v>
      </c>
      <c r="BQ39" s="158">
        <v>7238.8059701492539</v>
      </c>
      <c r="BR39" s="159"/>
    </row>
    <row r="40" spans="59:70" ht="15.75">
      <c r="BG40" s="113">
        <v>6</v>
      </c>
      <c r="BH40" s="5" t="s">
        <v>69</v>
      </c>
      <c r="BI40" s="1539">
        <f>964000/67</f>
        <v>14388.059701492537</v>
      </c>
      <c r="BJ40" s="1539"/>
      <c r="BK40" s="156">
        <v>5000</v>
      </c>
      <c r="BL40" s="154">
        <f t="shared" si="2"/>
        <v>19388.059701492537</v>
      </c>
      <c r="BM40" s="155">
        <v>18611.940298507463</v>
      </c>
      <c r="BN40" s="156">
        <v>0</v>
      </c>
      <c r="BO40" s="157">
        <f t="shared" si="3"/>
        <v>18611.940298507463</v>
      </c>
      <c r="BP40" s="158">
        <v>17119.402985074626</v>
      </c>
      <c r="BQ40" s="158">
        <v>17119.402985074626</v>
      </c>
      <c r="BR40" s="159"/>
    </row>
    <row r="41" spans="59:70" ht="15.75">
      <c r="BG41" s="113">
        <v>7</v>
      </c>
      <c r="BH41" s="5" t="s">
        <v>59</v>
      </c>
      <c r="BI41" s="1539">
        <f>202667/67</f>
        <v>3024.8805970149256</v>
      </c>
      <c r="BJ41" s="1539"/>
      <c r="BK41" s="156">
        <v>5000</v>
      </c>
      <c r="BL41" s="154">
        <f t="shared" si="2"/>
        <v>8024.880597014926</v>
      </c>
      <c r="BM41" s="155">
        <v>9995.0298507462685</v>
      </c>
      <c r="BN41" s="156">
        <v>0</v>
      </c>
      <c r="BO41" s="157">
        <f t="shared" si="3"/>
        <v>9995.0298507462685</v>
      </c>
      <c r="BP41" s="158">
        <v>9398.0149253731342</v>
      </c>
      <c r="BQ41" s="158">
        <v>9398.0149253731342</v>
      </c>
      <c r="BR41" s="159"/>
    </row>
    <row r="42" spans="59:70" ht="15.75">
      <c r="BG42" s="113">
        <v>8</v>
      </c>
      <c r="BH42" s="5" t="s">
        <v>31</v>
      </c>
      <c r="BI42" s="1539">
        <v>0</v>
      </c>
      <c r="BJ42" s="1539"/>
      <c r="BK42" s="156">
        <v>5082.0895522388064</v>
      </c>
      <c r="BL42" s="154">
        <f t="shared" si="2"/>
        <v>5082.0895522388064</v>
      </c>
      <c r="BM42" s="155">
        <v>0</v>
      </c>
      <c r="BN42" s="156">
        <v>0</v>
      </c>
      <c r="BO42" s="157">
        <f t="shared" si="3"/>
        <v>0</v>
      </c>
      <c r="BP42" s="158">
        <v>5194.0298507462685</v>
      </c>
      <c r="BQ42" s="158">
        <v>5194.0298507462685</v>
      </c>
      <c r="BR42" s="159"/>
    </row>
    <row r="43" spans="59:70" ht="15.75">
      <c r="BG43" s="113">
        <v>9</v>
      </c>
      <c r="BH43" s="5" t="s">
        <v>72</v>
      </c>
      <c r="BI43" s="1539">
        <f>48500/67</f>
        <v>723.88059701492534</v>
      </c>
      <c r="BJ43" s="1539"/>
      <c r="BK43" s="156">
        <v>3820.8955223880598</v>
      </c>
      <c r="BL43" s="154">
        <f t="shared" si="2"/>
        <v>4544.7761194029854</v>
      </c>
      <c r="BM43" s="155">
        <v>18604.4776119403</v>
      </c>
      <c r="BN43" s="156">
        <v>0</v>
      </c>
      <c r="BO43" s="157">
        <f t="shared" si="3"/>
        <v>18604.4776119403</v>
      </c>
      <c r="BP43" s="158">
        <v>17111.940298507463</v>
      </c>
      <c r="BQ43" s="158">
        <v>17111.940298507463</v>
      </c>
      <c r="BR43" s="159"/>
    </row>
    <row r="44" spans="59:70" ht="15.75">
      <c r="BG44" s="113">
        <v>10</v>
      </c>
      <c r="BH44" s="5" t="s">
        <v>73</v>
      </c>
      <c r="BI44" s="1539">
        <f>255667/67</f>
        <v>3815.9253731343283</v>
      </c>
      <c r="BJ44" s="1539"/>
      <c r="BK44" s="156">
        <v>4477.6119402985078</v>
      </c>
      <c r="BL44" s="154">
        <f t="shared" si="2"/>
        <v>8293.5373134328365</v>
      </c>
      <c r="BM44" s="155">
        <v>7032.3432835820895</v>
      </c>
      <c r="BN44" s="156">
        <v>0</v>
      </c>
      <c r="BO44" s="157">
        <f t="shared" si="3"/>
        <v>7032.3432835820895</v>
      </c>
      <c r="BP44" s="158">
        <v>6584.5820895522384</v>
      </c>
      <c r="BQ44" s="158">
        <v>6584.5820895522384</v>
      </c>
      <c r="BR44" s="159"/>
    </row>
    <row r="45" spans="59:70" ht="15.75">
      <c r="BG45" s="113">
        <v>11</v>
      </c>
      <c r="BH45" s="5" t="s">
        <v>58</v>
      </c>
      <c r="BI45" s="1539">
        <f>571267/67</f>
        <v>8526.373134328358</v>
      </c>
      <c r="BJ45" s="1539"/>
      <c r="BK45" s="156">
        <v>5417.9104477611936</v>
      </c>
      <c r="BL45" s="154">
        <f t="shared" si="2"/>
        <v>13944.283582089553</v>
      </c>
      <c r="BM45" s="155">
        <v>5123.3880597014922</v>
      </c>
      <c r="BN45" s="156">
        <v>0</v>
      </c>
      <c r="BO45" s="157">
        <f t="shared" si="3"/>
        <v>5123.3880597014922</v>
      </c>
      <c r="BP45" s="158">
        <v>5272.6417910447763</v>
      </c>
      <c r="BQ45" s="158">
        <v>5272.6417910447763</v>
      </c>
      <c r="BR45" s="159"/>
    </row>
    <row r="46" spans="59:70" ht="15.75">
      <c r="BG46" s="113">
        <v>12</v>
      </c>
      <c r="BH46" s="5" t="s">
        <v>53</v>
      </c>
      <c r="BI46" s="1539">
        <f>444667/67</f>
        <v>6636.8208955223881</v>
      </c>
      <c r="BJ46" s="1539"/>
      <c r="BK46" s="156">
        <v>4492.5373134328356</v>
      </c>
      <c r="BL46" s="154">
        <f t="shared" si="2"/>
        <v>11129.358208955224</v>
      </c>
      <c r="BM46" s="155">
        <v>18104.4776119403</v>
      </c>
      <c r="BN46" s="156">
        <v>0</v>
      </c>
      <c r="BO46" s="157">
        <f t="shared" si="3"/>
        <v>18104.4776119403</v>
      </c>
      <c r="BP46" s="158">
        <v>16611.940298507463</v>
      </c>
      <c r="BQ46" s="158">
        <v>16611.940298507463</v>
      </c>
      <c r="BR46" s="159"/>
    </row>
    <row r="47" spans="59:70" ht="15.75">
      <c r="BG47" s="113">
        <v>13</v>
      </c>
      <c r="BH47" s="5" t="s">
        <v>57</v>
      </c>
      <c r="BI47" s="1539">
        <v>0</v>
      </c>
      <c r="BJ47" s="1539"/>
      <c r="BK47" s="156">
        <v>10801</v>
      </c>
      <c r="BL47" s="154">
        <f t="shared" si="2"/>
        <v>10801</v>
      </c>
      <c r="BM47" s="155">
        <v>8592.0447761194027</v>
      </c>
      <c r="BN47" s="156">
        <v>0</v>
      </c>
      <c r="BO47" s="157">
        <f t="shared" si="3"/>
        <v>8592.0447761194027</v>
      </c>
      <c r="BP47" s="158">
        <v>7099.5074626865671</v>
      </c>
      <c r="BQ47" s="158">
        <v>7099.5074626865671</v>
      </c>
      <c r="BR47" s="159"/>
    </row>
    <row r="48" spans="59:70" ht="15.75">
      <c r="BG48" s="113">
        <v>14</v>
      </c>
      <c r="BH48" s="5" t="s">
        <v>63</v>
      </c>
      <c r="BI48" s="1539">
        <f>150000/67</f>
        <v>2238.8059701492539</v>
      </c>
      <c r="BJ48" s="1539"/>
      <c r="BK48" s="156">
        <v>2910.4477611940297</v>
      </c>
      <c r="BL48" s="154">
        <f t="shared" si="2"/>
        <v>5149.253731343284</v>
      </c>
      <c r="BM48" s="155">
        <v>4373.1343283582091</v>
      </c>
      <c r="BN48" s="156">
        <v>5970.1492537313434</v>
      </c>
      <c r="BO48" s="157">
        <f t="shared" si="3"/>
        <v>10343.283582089553</v>
      </c>
      <c r="BP48" s="158">
        <v>5865.6716417910447</v>
      </c>
      <c r="BQ48" s="158">
        <v>5865.6716417910447</v>
      </c>
      <c r="BR48" s="159"/>
    </row>
    <row r="49" spans="59:70" ht="15.75">
      <c r="BG49" s="113">
        <v>15</v>
      </c>
      <c r="BH49" s="5" t="s">
        <v>41</v>
      </c>
      <c r="BI49" s="1539">
        <f>146800/67</f>
        <v>2191.0447761194032</v>
      </c>
      <c r="BJ49" s="1539"/>
      <c r="BK49" s="156">
        <v>1900</v>
      </c>
      <c r="BL49" s="154">
        <f t="shared" si="2"/>
        <v>4091.0447761194032</v>
      </c>
      <c r="BM49" s="155">
        <v>0</v>
      </c>
      <c r="BN49" s="156">
        <v>0</v>
      </c>
      <c r="BO49" s="157">
        <f t="shared" si="3"/>
        <v>0</v>
      </c>
      <c r="BP49" s="158">
        <v>0</v>
      </c>
      <c r="BQ49" s="158">
        <v>5149.253731343284</v>
      </c>
      <c r="BR49" s="159"/>
    </row>
    <row r="50" spans="59:70" ht="15.75">
      <c r="BG50" s="113">
        <v>16</v>
      </c>
      <c r="BH50" s="5" t="s">
        <v>71</v>
      </c>
      <c r="BI50" s="1539">
        <f>111000/67</f>
        <v>1656.7164179104477</v>
      </c>
      <c r="BJ50" s="1539"/>
      <c r="BK50" s="156">
        <v>7099.5074626865671</v>
      </c>
      <c r="BL50" s="154">
        <f t="shared" si="2"/>
        <v>8756.2238805970155</v>
      </c>
      <c r="BM50" s="155">
        <v>6442.7910447761196</v>
      </c>
      <c r="BN50" s="156">
        <v>0</v>
      </c>
      <c r="BO50" s="157">
        <f t="shared" si="3"/>
        <v>6442.7910447761196</v>
      </c>
      <c r="BP50" s="158">
        <v>4950.253731343284</v>
      </c>
      <c r="BQ50" s="158">
        <v>4950.253731343284</v>
      </c>
      <c r="BR50" s="159"/>
    </row>
    <row r="51" spans="59:70" ht="15.75">
      <c r="BG51" s="113">
        <v>17</v>
      </c>
      <c r="BH51" s="5" t="s">
        <v>67</v>
      </c>
      <c r="BI51" s="1539">
        <f>245000/67</f>
        <v>3656.7164179104479</v>
      </c>
      <c r="BJ51" s="1539"/>
      <c r="BK51" s="156">
        <v>3741.2985074626868</v>
      </c>
      <c r="BL51" s="154">
        <f t="shared" si="2"/>
        <v>7398.0149253731342</v>
      </c>
      <c r="BM51" s="155">
        <v>6472.6417910447763</v>
      </c>
      <c r="BN51" s="156">
        <v>0</v>
      </c>
      <c r="BO51" s="157">
        <f t="shared" si="3"/>
        <v>6472.6417910447763</v>
      </c>
      <c r="BP51" s="158">
        <v>4980.1044776119406</v>
      </c>
      <c r="BQ51" s="158">
        <v>4980.1044776119406</v>
      </c>
      <c r="BR51" s="159"/>
    </row>
    <row r="52" spans="59:70" ht="15.75">
      <c r="BG52" s="113">
        <v>18</v>
      </c>
      <c r="BH52" s="5" t="s">
        <v>74</v>
      </c>
      <c r="BI52" s="1539">
        <f>173500/67</f>
        <v>2589.5522388059703</v>
      </c>
      <c r="BJ52" s="1539"/>
      <c r="BK52" s="156">
        <v>15415.417910447761</v>
      </c>
      <c r="BL52" s="154">
        <f t="shared" si="2"/>
        <v>18004.970149253732</v>
      </c>
      <c r="BM52" s="155">
        <v>23736.313432835821</v>
      </c>
      <c r="BN52" s="156">
        <v>13432.835820895523</v>
      </c>
      <c r="BO52" s="157">
        <f t="shared" si="3"/>
        <v>37169.149253731346</v>
      </c>
      <c r="BP52" s="158">
        <v>22243.776119402984</v>
      </c>
      <c r="BQ52" s="158">
        <v>22243.776119402984</v>
      </c>
      <c r="BR52" s="159"/>
    </row>
    <row r="53" spans="59:70" ht="15.75">
      <c r="BG53" s="113">
        <v>19</v>
      </c>
      <c r="BH53" s="5" t="s">
        <v>75</v>
      </c>
      <c r="BI53" s="1539">
        <f>120000/67</f>
        <v>1791.044776119403</v>
      </c>
      <c r="BJ53" s="1539"/>
      <c r="BK53" s="156">
        <v>4159</v>
      </c>
      <c r="BL53" s="154">
        <f t="shared" si="2"/>
        <v>5950.0447761194027</v>
      </c>
      <c r="BM53" s="155">
        <v>4059.7014925373132</v>
      </c>
      <c r="BN53" s="156">
        <v>0</v>
      </c>
      <c r="BO53" s="157">
        <f t="shared" si="3"/>
        <v>4059.7014925373132</v>
      </c>
      <c r="BP53" s="158">
        <v>4208.9552238805973</v>
      </c>
      <c r="BQ53" s="158">
        <v>4208.9552238805973</v>
      </c>
      <c r="BR53" s="159"/>
    </row>
    <row r="54" spans="59:70" ht="15.75">
      <c r="BG54" s="113">
        <v>20</v>
      </c>
      <c r="BH54" s="5" t="s">
        <v>32</v>
      </c>
      <c r="BI54" s="1539">
        <f>169300/67</f>
        <v>2526.8656716417909</v>
      </c>
      <c r="BJ54" s="1539"/>
      <c r="BK54" s="156">
        <v>5580.1044776119406</v>
      </c>
      <c r="BL54" s="154">
        <f t="shared" si="2"/>
        <v>8106.9701492537315</v>
      </c>
      <c r="BM54" s="155">
        <v>8345.7761194029845</v>
      </c>
      <c r="BN54" s="156">
        <v>0</v>
      </c>
      <c r="BO54" s="157">
        <f t="shared" si="3"/>
        <v>8345.7761194029845</v>
      </c>
      <c r="BP54" s="158">
        <v>8196.5223880597023</v>
      </c>
      <c r="BQ54" s="158">
        <v>8196.5223880597023</v>
      </c>
      <c r="BR54" s="159"/>
    </row>
    <row r="55" spans="59:70" ht="15.75">
      <c r="BG55" s="113">
        <v>21</v>
      </c>
      <c r="BH55" s="5" t="s">
        <v>35</v>
      </c>
      <c r="BI55" s="1539">
        <v>0</v>
      </c>
      <c r="BJ55" s="1539"/>
      <c r="BK55" s="156">
        <v>0</v>
      </c>
      <c r="BL55" s="154">
        <f t="shared" si="2"/>
        <v>0</v>
      </c>
      <c r="BM55" s="155">
        <v>0</v>
      </c>
      <c r="BN55" s="156">
        <v>0</v>
      </c>
      <c r="BO55" s="157">
        <f t="shared" si="3"/>
        <v>0</v>
      </c>
      <c r="BP55" s="158">
        <v>0</v>
      </c>
      <c r="BQ55" s="158">
        <v>7147.7611940298511</v>
      </c>
      <c r="BR55" s="159"/>
    </row>
    <row r="56" spans="59:70" ht="15.75">
      <c r="BG56" s="113">
        <v>22</v>
      </c>
      <c r="BH56" s="5" t="s">
        <v>205</v>
      </c>
      <c r="BI56" s="1539">
        <v>0</v>
      </c>
      <c r="BJ56" s="1539"/>
      <c r="BK56" s="156">
        <v>0</v>
      </c>
      <c r="BL56" s="154">
        <f t="shared" si="2"/>
        <v>0</v>
      </c>
      <c r="BM56" s="155">
        <v>0</v>
      </c>
      <c r="BN56" s="156">
        <v>0</v>
      </c>
      <c r="BO56" s="157">
        <f t="shared" si="3"/>
        <v>0</v>
      </c>
      <c r="BP56" s="158">
        <v>0</v>
      </c>
      <c r="BQ56" s="158">
        <v>5343.2835820895525</v>
      </c>
      <c r="BR56" s="159"/>
    </row>
    <row r="57" spans="59:70" ht="15.75">
      <c r="BG57" s="113">
        <v>23</v>
      </c>
      <c r="BH57" s="5" t="s">
        <v>78</v>
      </c>
      <c r="BI57" s="1539">
        <f>190108/67</f>
        <v>2837.4328358208954</v>
      </c>
      <c r="BJ57" s="1539"/>
      <c r="BK57" s="156">
        <v>5269.5373134328356</v>
      </c>
      <c r="BL57" s="154">
        <f t="shared" si="2"/>
        <v>8106.9701492537315</v>
      </c>
      <c r="BM57" s="155">
        <v>9487.567164179105</v>
      </c>
      <c r="BN57" s="156">
        <v>0</v>
      </c>
      <c r="BO57" s="157">
        <f t="shared" si="3"/>
        <v>9487.567164179105</v>
      </c>
      <c r="BP57" s="158">
        <v>7845.7761194029854</v>
      </c>
      <c r="BQ57" s="158">
        <v>7845.7761194029854</v>
      </c>
      <c r="BR57" s="159"/>
    </row>
    <row r="58" spans="59:70" ht="15.75">
      <c r="BG58" s="113">
        <v>24</v>
      </c>
      <c r="BH58" s="5" t="s">
        <v>206</v>
      </c>
      <c r="BI58" s="1539">
        <f>150000/67</f>
        <v>2238.8059701492539</v>
      </c>
      <c r="BJ58" s="1539"/>
      <c r="BK58" s="156">
        <v>925.37313432835822</v>
      </c>
      <c r="BL58" s="154">
        <f t="shared" si="2"/>
        <v>3164.1791044776119</v>
      </c>
      <c r="BM58" s="155">
        <v>7679.1044776119406</v>
      </c>
      <c r="BN58" s="156">
        <v>10447.76119402985</v>
      </c>
      <c r="BO58" s="157">
        <f t="shared" si="3"/>
        <v>18126.86567164179</v>
      </c>
      <c r="BP58" s="158">
        <v>7679.1044776119406</v>
      </c>
      <c r="BQ58" s="158">
        <v>7679.1044776119406</v>
      </c>
      <c r="BR58" s="159"/>
    </row>
    <row r="59" spans="59:70" ht="15.75">
      <c r="BG59" s="113">
        <v>25</v>
      </c>
      <c r="BH59" s="5" t="s">
        <v>79</v>
      </c>
      <c r="BI59" s="1539">
        <v>0</v>
      </c>
      <c r="BJ59" s="1539"/>
      <c r="BK59" s="156">
        <v>4216.4179104477616</v>
      </c>
      <c r="BL59" s="154">
        <f t="shared" si="2"/>
        <v>4216.4179104477616</v>
      </c>
      <c r="BM59" s="155">
        <v>5500</v>
      </c>
      <c r="BN59" s="156">
        <v>10447.76119402985</v>
      </c>
      <c r="BO59" s="157">
        <f t="shared" si="3"/>
        <v>15947.76119402985</v>
      </c>
      <c r="BP59" s="158">
        <v>6992.5373134328356</v>
      </c>
      <c r="BQ59" s="158">
        <v>6992.5373134328356</v>
      </c>
      <c r="BR59" s="159"/>
    </row>
    <row r="60" spans="59:70" ht="15.75">
      <c r="BG60" s="113">
        <v>26</v>
      </c>
      <c r="BH60" s="5" t="s">
        <v>80</v>
      </c>
      <c r="BI60" s="1539">
        <f>168000/67</f>
        <v>2507.4626865671644</v>
      </c>
      <c r="BJ60" s="1539"/>
      <c r="BK60" s="156">
        <v>955.16417910447763</v>
      </c>
      <c r="BL60" s="154">
        <f t="shared" si="2"/>
        <v>3462.626865671642</v>
      </c>
      <c r="BM60" s="155">
        <v>6268.5970149253735</v>
      </c>
      <c r="BN60" s="156">
        <v>442388.05970149254</v>
      </c>
      <c r="BO60" s="157">
        <f t="shared" si="3"/>
        <v>448656.65671641793</v>
      </c>
      <c r="BP60" s="158">
        <v>6865.6119402985078</v>
      </c>
      <c r="BQ60" s="158">
        <v>6865.6119402985078</v>
      </c>
      <c r="BR60" s="159"/>
    </row>
    <row r="61" spans="59:70" ht="15.75">
      <c r="BG61" s="113">
        <v>27</v>
      </c>
      <c r="BH61" s="5" t="s">
        <v>47</v>
      </c>
      <c r="BI61" s="1539">
        <f>450000/67</f>
        <v>6716.4179104477616</v>
      </c>
      <c r="BJ61" s="1539"/>
      <c r="BK61" s="156">
        <v>1630.8507462686566</v>
      </c>
      <c r="BL61" s="154">
        <f t="shared" si="2"/>
        <v>8347.2686567164183</v>
      </c>
      <c r="BM61" s="155">
        <v>9780.1044776119397</v>
      </c>
      <c r="BN61" s="156">
        <v>0</v>
      </c>
      <c r="BO61" s="157">
        <f t="shared" si="3"/>
        <v>9780.1044776119397</v>
      </c>
      <c r="BP61" s="158">
        <v>9481.5970149253735</v>
      </c>
      <c r="BQ61" s="158">
        <v>9481.5970149253735</v>
      </c>
      <c r="BR61" s="159"/>
    </row>
    <row r="62" spans="59:70" ht="15.75">
      <c r="BG62" s="113">
        <v>28</v>
      </c>
      <c r="BH62" s="5" t="s">
        <v>77</v>
      </c>
      <c r="BI62" s="1539">
        <f>168500/67</f>
        <v>2514.9253731343283</v>
      </c>
      <c r="BJ62" s="1539"/>
      <c r="BK62" s="156">
        <v>12606.970149253732</v>
      </c>
      <c r="BL62" s="154">
        <f t="shared" si="2"/>
        <v>15121.89552238806</v>
      </c>
      <c r="BM62" s="155">
        <v>12196.522388059702</v>
      </c>
      <c r="BN62" s="156">
        <v>0</v>
      </c>
      <c r="BO62" s="157">
        <f t="shared" si="3"/>
        <v>12196.522388059702</v>
      </c>
      <c r="BP62" s="158">
        <v>10703.985074626866</v>
      </c>
      <c r="BQ62" s="158">
        <v>10703.985074626866</v>
      </c>
      <c r="BR62" s="159"/>
    </row>
    <row r="63" spans="59:70" ht="15.75">
      <c r="BG63" s="113">
        <v>29</v>
      </c>
      <c r="BH63" s="5" t="s">
        <v>56</v>
      </c>
      <c r="BI63" s="1539">
        <f>130560/67</f>
        <v>1948.6567164179105</v>
      </c>
      <c r="BJ63" s="1539"/>
      <c r="BK63" s="156">
        <v>17979.208955223879</v>
      </c>
      <c r="BL63" s="154">
        <f t="shared" si="2"/>
        <v>19927.86567164179</v>
      </c>
      <c r="BM63" s="155">
        <v>6465.1791044776119</v>
      </c>
      <c r="BN63" s="156">
        <v>0</v>
      </c>
      <c r="BO63" s="157">
        <f t="shared" si="3"/>
        <v>6465.1791044776119</v>
      </c>
      <c r="BP63" s="158">
        <v>6315.9253731343288</v>
      </c>
      <c r="BQ63" s="158">
        <v>6315.9253731343288</v>
      </c>
      <c r="BR63" s="159"/>
    </row>
    <row r="64" spans="59:70" ht="15.75">
      <c r="BG64" s="113">
        <v>30</v>
      </c>
      <c r="BH64" s="5" t="s">
        <v>64</v>
      </c>
      <c r="BI64" s="1539">
        <f>150000/67</f>
        <v>2238.8059701492539</v>
      </c>
      <c r="BJ64" s="1539"/>
      <c r="BK64" s="156">
        <v>2216.4179104477612</v>
      </c>
      <c r="BL64" s="154">
        <f t="shared" si="2"/>
        <v>4455.2238805970155</v>
      </c>
      <c r="BM64" s="155">
        <v>4007.4626865671644</v>
      </c>
      <c r="BN64" s="156">
        <v>0</v>
      </c>
      <c r="BO64" s="157">
        <f t="shared" si="3"/>
        <v>4007.4626865671644</v>
      </c>
      <c r="BP64" s="158">
        <v>4007.4626865671644</v>
      </c>
      <c r="BQ64" s="158">
        <v>4007.4626865671644</v>
      </c>
      <c r="BR64" s="159"/>
    </row>
    <row r="65" spans="59:70" ht="15.75">
      <c r="BG65" s="113">
        <v>31</v>
      </c>
      <c r="BH65" s="5" t="s">
        <v>76</v>
      </c>
      <c r="BI65" s="1539">
        <f>421667/67</f>
        <v>6293.5373134328356</v>
      </c>
      <c r="BJ65" s="1539"/>
      <c r="BK65" s="156">
        <v>0</v>
      </c>
      <c r="BL65" s="154">
        <f t="shared" si="2"/>
        <v>6293.5373134328356</v>
      </c>
      <c r="BM65" s="155">
        <v>10442.791044776119</v>
      </c>
      <c r="BN65" s="156">
        <v>0</v>
      </c>
      <c r="BO65" s="157">
        <f t="shared" si="3"/>
        <v>10442.791044776119</v>
      </c>
      <c r="BP65" s="158">
        <v>9696.5223880597023</v>
      </c>
      <c r="BQ65" s="158">
        <v>9696.5223880597023</v>
      </c>
      <c r="BR65" s="159"/>
    </row>
    <row r="66" spans="59:70" ht="15.75">
      <c r="BG66" s="113">
        <v>32</v>
      </c>
      <c r="BH66" s="5" t="s">
        <v>65</v>
      </c>
      <c r="BI66" s="1539">
        <f>160000/67</f>
        <v>2388.0597014925374</v>
      </c>
      <c r="BJ66" s="1539"/>
      <c r="BK66" s="156">
        <v>6833.8358208955224</v>
      </c>
      <c r="BL66" s="154">
        <f t="shared" si="2"/>
        <v>9221.8955223880603</v>
      </c>
      <c r="BM66" s="155">
        <v>11559.208955223881</v>
      </c>
      <c r="BN66" s="156">
        <v>0</v>
      </c>
      <c r="BO66" s="157">
        <f t="shared" si="3"/>
        <v>11559.208955223881</v>
      </c>
      <c r="BP66" s="158">
        <v>9768.1641791044767</v>
      </c>
      <c r="BQ66" s="158">
        <v>9768.1641791044767</v>
      </c>
      <c r="BR66" s="159"/>
    </row>
    <row r="67" spans="59:70" ht="15.75">
      <c r="BG67" s="113">
        <v>33</v>
      </c>
      <c r="BH67" s="5" t="s">
        <v>62</v>
      </c>
      <c r="BI67" s="1539">
        <f>287167/67</f>
        <v>4286.0746268656712</v>
      </c>
      <c r="BJ67" s="1539"/>
      <c r="BK67" s="156">
        <v>3343.2835820895521</v>
      </c>
      <c r="BL67" s="154">
        <f t="shared" si="2"/>
        <v>7629.3582089552237</v>
      </c>
      <c r="BM67" s="155">
        <v>11062.194029850747</v>
      </c>
      <c r="BN67" s="156">
        <v>0</v>
      </c>
      <c r="BO67" s="157">
        <f t="shared" si="3"/>
        <v>11062.194029850747</v>
      </c>
      <c r="BP67" s="158">
        <v>9569.6567164179105</v>
      </c>
      <c r="BQ67" s="158">
        <v>9569.6567164179105</v>
      </c>
      <c r="BR67" s="159"/>
    </row>
    <row r="68" spans="59:70" ht="15.75">
      <c r="BG68" s="113">
        <v>34</v>
      </c>
      <c r="BH68" s="5" t="s">
        <v>60</v>
      </c>
      <c r="BI68" s="1539">
        <f>15000/67</f>
        <v>223.88059701492537</v>
      </c>
      <c r="BJ68" s="1539"/>
      <c r="BK68" s="156">
        <v>19137</v>
      </c>
      <c r="BL68" s="154">
        <f t="shared" si="2"/>
        <v>19360.880597014926</v>
      </c>
      <c r="BM68" s="155">
        <v>5599.5074626865671</v>
      </c>
      <c r="BN68" s="156">
        <v>0</v>
      </c>
      <c r="BO68" s="157">
        <f t="shared" si="3"/>
        <v>5599.5074626865671</v>
      </c>
      <c r="BP68" s="158">
        <v>5450.253731343284</v>
      </c>
      <c r="BQ68" s="158">
        <v>5450.253731343284</v>
      </c>
      <c r="BR68" s="159"/>
    </row>
    <row r="69" spans="59:70" ht="15.75">
      <c r="BG69" s="113">
        <v>35</v>
      </c>
      <c r="BH69" s="5" t="s">
        <v>70</v>
      </c>
      <c r="BI69" s="1539">
        <f>103000/67</f>
        <v>1537.313432835821</v>
      </c>
      <c r="BJ69" s="1539"/>
      <c r="BK69" s="156">
        <v>3651.7462686567164</v>
      </c>
      <c r="BL69" s="154">
        <f t="shared" si="2"/>
        <v>5189.059701492537</v>
      </c>
      <c r="BM69" s="155">
        <v>4412.940298507463</v>
      </c>
      <c r="BN69" s="156">
        <v>0</v>
      </c>
      <c r="BO69" s="157">
        <f>BM69+BN69</f>
        <v>4412.940298507463</v>
      </c>
      <c r="BP69" s="158">
        <v>4263.686567164179</v>
      </c>
      <c r="BQ69" s="158">
        <v>4263.686567164179</v>
      </c>
      <c r="BR69" s="159"/>
    </row>
    <row r="70" spans="59:70" ht="15.75">
      <c r="BG70" s="113">
        <v>36</v>
      </c>
      <c r="BH70" s="5" t="s">
        <v>34</v>
      </c>
      <c r="BI70" s="1539">
        <f>1071167/67</f>
        <v>15987.567164179105</v>
      </c>
      <c r="BJ70" s="1539"/>
      <c r="BK70" s="156">
        <v>4089.5522388059703</v>
      </c>
      <c r="BL70" s="154">
        <f>BK70+BI70</f>
        <v>20077.119402985074</v>
      </c>
      <c r="BM70" s="155">
        <v>19062.194029850747</v>
      </c>
      <c r="BN70" s="156">
        <v>0</v>
      </c>
      <c r="BO70" s="157">
        <f>BM70+BN70</f>
        <v>19062.194029850747</v>
      </c>
      <c r="BP70" s="158">
        <v>17569.656716417911</v>
      </c>
      <c r="BQ70" s="158">
        <v>17569.656716417911</v>
      </c>
      <c r="BR70" s="159"/>
    </row>
    <row r="71" spans="59:70" ht="15.75">
      <c r="BG71" s="1507" t="s">
        <v>130</v>
      </c>
      <c r="BH71" s="1508"/>
      <c r="BI71" s="1520">
        <f>SUM(BI35:BJ70)</f>
        <v>132552.04477611947</v>
      </c>
      <c r="BJ71" s="1521"/>
      <c r="BK71" s="160">
        <f t="shared" ref="BK71:BQ71" si="4">SUM(BK35:BK70)</f>
        <v>196552.5074626866</v>
      </c>
      <c r="BL71" s="160">
        <f t="shared" si="4"/>
        <v>329104.55223880592</v>
      </c>
      <c r="BM71" s="161">
        <f t="shared" si="4"/>
        <v>293634.35820895527</v>
      </c>
      <c r="BN71" s="161">
        <f t="shared" si="4"/>
        <v>719343.28358208947</v>
      </c>
      <c r="BO71" s="161">
        <f t="shared" si="4"/>
        <v>1012977.6417910446</v>
      </c>
      <c r="BP71" s="161">
        <f t="shared" si="4"/>
        <v>300395.55223880603</v>
      </c>
      <c r="BQ71" s="161">
        <f t="shared" si="4"/>
        <v>323035.85074626876</v>
      </c>
      <c r="BR71" s="162"/>
    </row>
    <row r="72" spans="59:70" ht="19.5" thickBot="1">
      <c r="BG72" s="1477" t="s">
        <v>423</v>
      </c>
      <c r="BH72" s="1477"/>
      <c r="BI72" s="1477"/>
      <c r="BJ72" s="1477"/>
      <c r="BK72" s="1477"/>
      <c r="BL72" s="1477"/>
      <c r="BM72" s="1477"/>
      <c r="BN72" s="1477"/>
      <c r="BO72" s="1477"/>
      <c r="BP72" s="1477"/>
      <c r="BQ72" s="1477"/>
      <c r="BR72" s="1477"/>
    </row>
    <row r="73" spans="59:70" ht="15.75">
      <c r="BG73" s="1522" t="s">
        <v>424</v>
      </c>
      <c r="BH73" s="1523"/>
      <c r="BI73" s="1523"/>
      <c r="BJ73" s="1524"/>
      <c r="BK73" s="1531" t="s">
        <v>425</v>
      </c>
      <c r="BL73" s="1532"/>
      <c r="BM73" s="1533" t="s">
        <v>426</v>
      </c>
      <c r="BN73" s="1533"/>
      <c r="BO73" s="1533"/>
      <c r="BP73" s="1533"/>
      <c r="BQ73" s="1533"/>
      <c r="BR73" s="1534"/>
    </row>
    <row r="74" spans="59:70" ht="15.75">
      <c r="BG74" s="1525"/>
      <c r="BH74" s="1526"/>
      <c r="BI74" s="1526"/>
      <c r="BJ74" s="1527"/>
      <c r="BK74" s="1535" t="s">
        <v>198</v>
      </c>
      <c r="BL74" s="1536"/>
      <c r="BM74" s="1537">
        <v>1396</v>
      </c>
      <c r="BN74" s="1537"/>
      <c r="BO74" s="1537">
        <v>1397</v>
      </c>
      <c r="BP74" s="1537"/>
      <c r="BQ74" s="1536">
        <v>1398</v>
      </c>
      <c r="BR74" s="1538"/>
    </row>
    <row r="75" spans="59:70" ht="15.75">
      <c r="BG75" s="1528"/>
      <c r="BH75" s="1529"/>
      <c r="BI75" s="1529"/>
      <c r="BJ75" s="1530"/>
      <c r="BK75" s="163" t="s">
        <v>427</v>
      </c>
      <c r="BL75" s="164" t="s">
        <v>428</v>
      </c>
      <c r="BM75" s="164" t="s">
        <v>427</v>
      </c>
      <c r="BN75" s="164" t="s">
        <v>428</v>
      </c>
      <c r="BO75" s="164" t="s">
        <v>427</v>
      </c>
      <c r="BP75" s="165" t="s">
        <v>428</v>
      </c>
      <c r="BQ75" s="165" t="s">
        <v>427</v>
      </c>
      <c r="BR75" s="166" t="s">
        <v>428</v>
      </c>
    </row>
    <row r="76" spans="59:70" ht="15.75" thickBot="1">
      <c r="BG76" s="1517"/>
      <c r="BH76" s="1518"/>
      <c r="BI76" s="1518"/>
      <c r="BJ76" s="1519"/>
      <c r="BK76" s="167"/>
      <c r="BL76" s="167">
        <v>16</v>
      </c>
      <c r="BM76" s="167"/>
      <c r="BN76" s="167">
        <v>16</v>
      </c>
      <c r="BO76" s="168"/>
      <c r="BP76" s="167">
        <v>16</v>
      </c>
      <c r="BQ76" s="167"/>
      <c r="BR76" s="169">
        <v>16</v>
      </c>
    </row>
    <row r="77" spans="59:70" ht="19.5" thickBot="1">
      <c r="BG77" s="1477" t="s">
        <v>429</v>
      </c>
      <c r="BH77" s="1477"/>
      <c r="BI77" s="1477"/>
      <c r="BJ77" s="1477"/>
      <c r="BK77" s="1477"/>
      <c r="BL77" s="1477"/>
      <c r="BM77" s="1477"/>
      <c r="BN77" s="1477"/>
      <c r="BO77" s="1477"/>
      <c r="BP77" s="1477"/>
      <c r="BQ77" s="1477"/>
      <c r="BR77" s="1477"/>
    </row>
    <row r="78" spans="59:70" ht="15.75">
      <c r="BG78" s="1478" t="s">
        <v>430</v>
      </c>
      <c r="BH78" s="1479"/>
      <c r="BI78" s="1479"/>
      <c r="BJ78" s="1497" t="s">
        <v>431</v>
      </c>
      <c r="BK78" s="1497"/>
      <c r="BL78" s="1497"/>
      <c r="BM78" s="1497"/>
      <c r="BN78" s="1497"/>
      <c r="BO78" s="1497"/>
      <c r="BP78" s="1497"/>
      <c r="BQ78" s="1497"/>
      <c r="BR78" s="1498"/>
    </row>
    <row r="79" spans="59:70">
      <c r="BG79" s="1499" t="s">
        <v>432</v>
      </c>
      <c r="BH79" s="1500"/>
      <c r="BI79" s="1500"/>
      <c r="BJ79" s="1501" t="s">
        <v>433</v>
      </c>
      <c r="BK79" s="1501"/>
      <c r="BL79" s="1501"/>
      <c r="BM79" s="1501"/>
      <c r="BN79" s="1501"/>
      <c r="BO79" s="1501"/>
      <c r="BP79" s="1501"/>
      <c r="BQ79" s="1501"/>
      <c r="BR79" s="1502"/>
    </row>
    <row r="80" spans="59:70" ht="15.75" thickBot="1">
      <c r="BG80" s="1503" t="s">
        <v>434</v>
      </c>
      <c r="BH80" s="1504"/>
      <c r="BI80" s="1504"/>
      <c r="BJ80" s="1505" t="s">
        <v>435</v>
      </c>
      <c r="BK80" s="1505"/>
      <c r="BL80" s="1505"/>
      <c r="BM80" s="1505"/>
      <c r="BN80" s="1505"/>
      <c r="BO80" s="1505"/>
      <c r="BP80" s="1505"/>
      <c r="BQ80" s="1505"/>
      <c r="BR80" s="1506"/>
    </row>
    <row r="81" spans="59:70">
      <c r="BG81" s="2"/>
      <c r="BH81" s="2"/>
      <c r="BI81" s="2"/>
      <c r="BJ81" s="2"/>
      <c r="BK81" s="2"/>
      <c r="BL81" s="2"/>
      <c r="BM81" s="2"/>
      <c r="BN81" s="2"/>
      <c r="BO81" s="2"/>
      <c r="BP81" s="2"/>
      <c r="BQ81" s="2"/>
      <c r="BR81" s="2"/>
    </row>
    <row r="82" spans="59:70" ht="15.75">
      <c r="BG82" s="170"/>
      <c r="BH82" s="170"/>
      <c r="BI82" s="170"/>
      <c r="BJ82" s="170"/>
      <c r="BK82" s="170"/>
      <c r="BL82" s="170"/>
      <c r="BM82" s="170"/>
      <c r="BN82" s="1507" t="s">
        <v>337</v>
      </c>
      <c r="BO82" s="1508"/>
      <c r="BP82" s="1507" t="s">
        <v>436</v>
      </c>
      <c r="BQ82" s="1508"/>
      <c r="BR82" s="2"/>
    </row>
    <row r="83" spans="59:70" ht="15.75">
      <c r="BG83" s="1493" t="s">
        <v>437</v>
      </c>
      <c r="BH83" s="1493"/>
      <c r="BI83" s="1493"/>
      <c r="BJ83" s="1493"/>
      <c r="BK83" s="1493"/>
      <c r="BL83" s="1493"/>
      <c r="BM83" s="1493"/>
      <c r="BN83" s="1515"/>
      <c r="BO83" s="1516"/>
      <c r="BP83" s="1509"/>
      <c r="BQ83" s="1510"/>
      <c r="BR83" s="2"/>
    </row>
    <row r="84" spans="59:70" ht="15.75">
      <c r="BG84" s="1493" t="s">
        <v>438</v>
      </c>
      <c r="BH84" s="1493"/>
      <c r="BI84" s="1493"/>
      <c r="BJ84" s="1493"/>
      <c r="BK84" s="1493"/>
      <c r="BL84" s="1493"/>
      <c r="BM84" s="1493"/>
      <c r="BN84" s="1511"/>
      <c r="BO84" s="1512"/>
      <c r="BP84" s="1513"/>
      <c r="BQ84" s="1514"/>
      <c r="BR84" s="2"/>
    </row>
    <row r="85" spans="59:70" ht="15.75">
      <c r="BG85" s="1493" t="s">
        <v>439</v>
      </c>
      <c r="BH85" s="1493"/>
      <c r="BI85" s="1493"/>
      <c r="BJ85" s="1493"/>
      <c r="BK85" s="1493"/>
      <c r="BL85" s="1493"/>
      <c r="BM85" s="1493"/>
      <c r="BN85" s="1494"/>
      <c r="BO85" s="1495"/>
      <c r="BP85" s="1495"/>
      <c r="BQ85" s="1496"/>
      <c r="BR85" s="2"/>
    </row>
    <row r="86" spans="59:70" ht="15.75">
      <c r="BG86" s="1493" t="s">
        <v>440</v>
      </c>
      <c r="BH86" s="1493"/>
      <c r="BI86" s="1493"/>
      <c r="BJ86" s="1493"/>
      <c r="BK86" s="1493"/>
      <c r="BL86" s="1493"/>
      <c r="BM86" s="1493"/>
      <c r="BN86" s="1511"/>
      <c r="BO86" s="1512"/>
      <c r="BP86" s="1513"/>
      <c r="BQ86" s="1514"/>
      <c r="BR86" s="2"/>
    </row>
    <row r="87" spans="59:70" ht="15.75">
      <c r="BG87" s="1493" t="s">
        <v>441</v>
      </c>
      <c r="BH87" s="1493"/>
      <c r="BI87" s="1493"/>
      <c r="BJ87" s="1493"/>
      <c r="BK87" s="1493"/>
      <c r="BL87" s="1493"/>
      <c r="BM87" s="1493"/>
      <c r="BN87" s="1494"/>
      <c r="BO87" s="1495"/>
      <c r="BP87" s="1495"/>
      <c r="BQ87" s="1496"/>
      <c r="BR87" s="2"/>
    </row>
  </sheetData>
  <mergeCells count="125">
    <mergeCell ref="BG1:BR2"/>
    <mergeCell ref="BG3:BR3"/>
    <mergeCell ref="BG4:BI4"/>
    <mergeCell ref="BL4:BR4"/>
    <mergeCell ref="BG5:BI16"/>
    <mergeCell ref="BJ5:BJ16"/>
    <mergeCell ref="BK5:BK16"/>
    <mergeCell ref="BL5:BO6"/>
    <mergeCell ref="BP5:BR5"/>
    <mergeCell ref="BL7:BO7"/>
    <mergeCell ref="BQ7:BQ15"/>
    <mergeCell ref="BR7:BR15"/>
    <mergeCell ref="BL8:BO8"/>
    <mergeCell ref="BL9:BO9"/>
    <mergeCell ref="BL10:BO10"/>
    <mergeCell ref="BL11:BO11"/>
    <mergeCell ref="BL12:BO12"/>
    <mergeCell ref="BL13:BO13"/>
    <mergeCell ref="BL14:BO14"/>
    <mergeCell ref="BL15:BO15"/>
    <mergeCell ref="BG20:BK20"/>
    <mergeCell ref="BL20:BR20"/>
    <mergeCell ref="BG21:BK21"/>
    <mergeCell ref="BL21:BR21"/>
    <mergeCell ref="BG22:BK22"/>
    <mergeCell ref="BL22:BR22"/>
    <mergeCell ref="BL16:BO16"/>
    <mergeCell ref="BG17:BR17"/>
    <mergeCell ref="BG18:BK18"/>
    <mergeCell ref="BL18:BR18"/>
    <mergeCell ref="BG19:BK19"/>
    <mergeCell ref="BL19:BR19"/>
    <mergeCell ref="BG23:BK23"/>
    <mergeCell ref="BL23:BR23"/>
    <mergeCell ref="BG24:BR24"/>
    <mergeCell ref="BG25:BK25"/>
    <mergeCell ref="BL25:BR25"/>
    <mergeCell ref="BG26:BG27"/>
    <mergeCell ref="BH26:BJ27"/>
    <mergeCell ref="BK26:BK27"/>
    <mergeCell ref="BL26:BM26"/>
    <mergeCell ref="BP26:BR26"/>
    <mergeCell ref="BG33:BG34"/>
    <mergeCell ref="BH33:BH34"/>
    <mergeCell ref="BI33:BL33"/>
    <mergeCell ref="BM33:BO33"/>
    <mergeCell ref="BP33:BP34"/>
    <mergeCell ref="BQ33:BQ34"/>
    <mergeCell ref="BH28:BJ29"/>
    <mergeCell ref="BK28:BK29"/>
    <mergeCell ref="BG30:BK30"/>
    <mergeCell ref="BG31:BR31"/>
    <mergeCell ref="BI32:BK32"/>
    <mergeCell ref="BM32:BO32"/>
    <mergeCell ref="BI39:BJ39"/>
    <mergeCell ref="BI40:BJ40"/>
    <mergeCell ref="BI41:BJ41"/>
    <mergeCell ref="BI42:BJ42"/>
    <mergeCell ref="BI43:BJ43"/>
    <mergeCell ref="BI44:BJ44"/>
    <mergeCell ref="BR33:BR34"/>
    <mergeCell ref="BI34:BJ34"/>
    <mergeCell ref="BI35:BJ35"/>
    <mergeCell ref="BI36:BJ36"/>
    <mergeCell ref="BI37:BJ37"/>
    <mergeCell ref="BI38:BJ38"/>
    <mergeCell ref="BI51:BJ51"/>
    <mergeCell ref="BI52:BJ52"/>
    <mergeCell ref="BI53:BJ53"/>
    <mergeCell ref="BI54:BJ54"/>
    <mergeCell ref="BI55:BJ55"/>
    <mergeCell ref="BI56:BJ56"/>
    <mergeCell ref="BI45:BJ45"/>
    <mergeCell ref="BI46:BJ46"/>
    <mergeCell ref="BI47:BJ47"/>
    <mergeCell ref="BI48:BJ48"/>
    <mergeCell ref="BI49:BJ49"/>
    <mergeCell ref="BI50:BJ50"/>
    <mergeCell ref="BI63:BJ63"/>
    <mergeCell ref="BI64:BJ64"/>
    <mergeCell ref="BI65:BJ65"/>
    <mergeCell ref="BI66:BJ66"/>
    <mergeCell ref="BI67:BJ67"/>
    <mergeCell ref="BI68:BJ68"/>
    <mergeCell ref="BI57:BJ57"/>
    <mergeCell ref="BI58:BJ58"/>
    <mergeCell ref="BI59:BJ59"/>
    <mergeCell ref="BI60:BJ60"/>
    <mergeCell ref="BI61:BJ61"/>
    <mergeCell ref="BI62:BJ62"/>
    <mergeCell ref="BI69:BJ69"/>
    <mergeCell ref="BI70:BJ70"/>
    <mergeCell ref="BG71:BH71"/>
    <mergeCell ref="BI71:BJ71"/>
    <mergeCell ref="BG72:BR72"/>
    <mergeCell ref="BG73:BJ75"/>
    <mergeCell ref="BK73:BL73"/>
    <mergeCell ref="BM73:BR73"/>
    <mergeCell ref="BK74:BL74"/>
    <mergeCell ref="BM74:BN74"/>
    <mergeCell ref="BG79:BI79"/>
    <mergeCell ref="BJ79:BR79"/>
    <mergeCell ref="BG80:BI80"/>
    <mergeCell ref="BJ80:BR80"/>
    <mergeCell ref="BN82:BO82"/>
    <mergeCell ref="BP82:BQ82"/>
    <mergeCell ref="BO74:BP74"/>
    <mergeCell ref="BQ74:BR74"/>
    <mergeCell ref="BG76:BJ76"/>
    <mergeCell ref="BG77:BR77"/>
    <mergeCell ref="BG78:BI78"/>
    <mergeCell ref="BJ78:BR78"/>
    <mergeCell ref="BG85:BM85"/>
    <mergeCell ref="BN85:BQ85"/>
    <mergeCell ref="BG86:BM86"/>
    <mergeCell ref="BN86:BO86"/>
    <mergeCell ref="BP86:BQ86"/>
    <mergeCell ref="BG87:BM87"/>
    <mergeCell ref="BN87:BQ87"/>
    <mergeCell ref="BG83:BM83"/>
    <mergeCell ref="BN83:BO83"/>
    <mergeCell ref="BP83:BQ83"/>
    <mergeCell ref="BG84:BM84"/>
    <mergeCell ref="BN84:BO84"/>
    <mergeCell ref="BP84:BQ8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rightToLeft="1" showWhiteSpace="0" view="pageLayout" zoomScale="90" zoomScalePageLayoutView="90" workbookViewId="0">
      <selection activeCell="F24" sqref="F24"/>
    </sheetView>
  </sheetViews>
  <sheetFormatPr defaultRowHeight="15"/>
  <cols>
    <col min="1" max="1" width="5.7109375" customWidth="1"/>
    <col min="2" max="2" width="20.85546875" customWidth="1"/>
    <col min="3" max="3" width="28" customWidth="1"/>
    <col min="4" max="4" width="18.5703125" customWidth="1"/>
    <col min="5" max="5" width="16.85546875" customWidth="1"/>
    <col min="6" max="6" width="17" customWidth="1"/>
    <col min="7" max="7" width="16.28515625" customWidth="1"/>
    <col min="8" max="8" width="15.28515625" customWidth="1"/>
    <col min="9" max="9" width="17.7109375" customWidth="1"/>
  </cols>
  <sheetData>
    <row r="1" spans="1:9" ht="18.75">
      <c r="A1" s="1668" t="s">
        <v>246</v>
      </c>
      <c r="B1" s="1668"/>
      <c r="C1" s="1668"/>
      <c r="D1" s="1668"/>
      <c r="E1" s="1668"/>
      <c r="F1" s="1668"/>
      <c r="G1" s="1668"/>
      <c r="H1" s="1668"/>
      <c r="I1" s="1668"/>
    </row>
    <row r="2" spans="1:9" ht="31.5">
      <c r="A2" s="1356" t="s">
        <v>88</v>
      </c>
      <c r="B2" s="1662" t="s">
        <v>126</v>
      </c>
      <c r="C2" s="1663"/>
      <c r="D2" s="11" t="s">
        <v>247</v>
      </c>
      <c r="E2" s="11" t="s">
        <v>248</v>
      </c>
      <c r="F2" s="11" t="s">
        <v>249</v>
      </c>
      <c r="G2" s="11" t="s">
        <v>250</v>
      </c>
      <c r="H2" s="11" t="s">
        <v>251</v>
      </c>
      <c r="I2" s="10" t="s">
        <v>252</v>
      </c>
    </row>
    <row r="3" spans="1:9" ht="21" customHeight="1">
      <c r="A3" s="1356"/>
      <c r="B3" s="1664"/>
      <c r="C3" s="1665"/>
      <c r="D3" s="11" t="s">
        <v>253</v>
      </c>
      <c r="E3" s="11" t="s">
        <v>253</v>
      </c>
      <c r="F3" s="11" t="s">
        <v>254</v>
      </c>
      <c r="G3" s="11" t="s">
        <v>254</v>
      </c>
      <c r="H3" s="11" t="s">
        <v>253</v>
      </c>
      <c r="I3" s="11" t="s">
        <v>253</v>
      </c>
    </row>
    <row r="4" spans="1:9" s="65" customFormat="1" ht="24" customHeight="1">
      <c r="A4" s="12">
        <v>1</v>
      </c>
      <c r="B4" s="1656" t="s">
        <v>127</v>
      </c>
      <c r="C4" s="1657"/>
      <c r="D4" s="63">
        <v>56700000</v>
      </c>
      <c r="E4" s="63">
        <v>110300710.95999999</v>
      </c>
      <c r="F4" s="64">
        <v>64617715.626666702</v>
      </c>
      <c r="G4" s="63">
        <v>61263048.960000001</v>
      </c>
      <c r="H4" s="63">
        <v>56856798.960000001</v>
      </c>
      <c r="I4" s="64">
        <f>SUM(D4:H4)</f>
        <v>349738274.50666666</v>
      </c>
    </row>
    <row r="5" spans="1:9" s="65" customFormat="1" ht="24" customHeight="1">
      <c r="A5" s="12">
        <v>2</v>
      </c>
      <c r="B5" s="1656" t="s">
        <v>85</v>
      </c>
      <c r="C5" s="1657"/>
      <c r="D5" s="64">
        <v>31500000</v>
      </c>
      <c r="E5" s="64">
        <v>88617492</v>
      </c>
      <c r="F5" s="64">
        <v>66174992</v>
      </c>
      <c r="G5" s="64">
        <v>45024992</v>
      </c>
      <c r="H5" s="64">
        <v>40524992</v>
      </c>
      <c r="I5" s="64">
        <f>SUM(D5:H5)</f>
        <v>271842468</v>
      </c>
    </row>
    <row r="6" spans="1:9" s="65" customFormat="1" ht="50.25" customHeight="1">
      <c r="A6" s="1666">
        <v>3</v>
      </c>
      <c r="B6" s="1667" t="s">
        <v>128</v>
      </c>
      <c r="C6" s="14" t="s">
        <v>255</v>
      </c>
      <c r="D6" s="64">
        <v>1890000000</v>
      </c>
      <c r="E6" s="64">
        <v>75600000</v>
      </c>
      <c r="F6" s="64">
        <v>80400000</v>
      </c>
      <c r="G6" s="64">
        <v>67000000</v>
      </c>
      <c r="H6" s="64">
        <v>67000000</v>
      </c>
      <c r="I6" s="64">
        <f>SUM(D6:H6)</f>
        <v>2180000000</v>
      </c>
    </row>
    <row r="7" spans="1:9" s="65" customFormat="1" ht="24" customHeight="1">
      <c r="A7" s="1666"/>
      <c r="B7" s="1667"/>
      <c r="C7" s="14" t="s">
        <v>129</v>
      </c>
      <c r="D7" s="64">
        <v>22050000</v>
      </c>
      <c r="E7" s="64">
        <v>165605265</v>
      </c>
      <c r="F7" s="64">
        <v>170298255</v>
      </c>
      <c r="G7" s="64">
        <v>201857466</v>
      </c>
      <c r="H7" s="64">
        <v>194568536</v>
      </c>
      <c r="I7" s="64">
        <f>SUM(D7:H7)</f>
        <v>754379522</v>
      </c>
    </row>
    <row r="8" spans="1:9" s="65" customFormat="1" ht="24" customHeight="1">
      <c r="A8" s="12">
        <v>4</v>
      </c>
      <c r="B8" s="1656" t="s">
        <v>256</v>
      </c>
      <c r="C8" s="1657"/>
      <c r="D8" s="64">
        <v>15750000</v>
      </c>
      <c r="E8" s="64">
        <v>21515194.879999999</v>
      </c>
      <c r="F8" s="64">
        <v>27355113</v>
      </c>
      <c r="G8" s="64">
        <v>22970120</v>
      </c>
      <c r="H8" s="64">
        <v>27293528</v>
      </c>
      <c r="I8" s="64">
        <f>SUM(D8:H8)</f>
        <v>114883955.88</v>
      </c>
    </row>
    <row r="9" spans="1:9" ht="20.25" customHeight="1">
      <c r="A9" s="1653" t="s">
        <v>257</v>
      </c>
      <c r="B9" s="1654"/>
      <c r="C9" s="1655"/>
      <c r="D9" s="66">
        <f>SUM(D4:D8)</f>
        <v>2016000000</v>
      </c>
      <c r="E9" s="66">
        <f>SUM(E4:E8)</f>
        <v>461638662.83999997</v>
      </c>
      <c r="F9" s="66">
        <f>SUM(F4:F8)</f>
        <v>408846075.62666667</v>
      </c>
      <c r="G9" s="66">
        <f>SUM(G4:G8)</f>
        <v>398115626.96000004</v>
      </c>
      <c r="H9" s="66">
        <f>SUM(H4:H8)</f>
        <v>386243854.96000004</v>
      </c>
      <c r="I9" s="66">
        <f>SUM(I4+I6+I5+I8+I7)</f>
        <v>3670844220.3866668</v>
      </c>
    </row>
    <row r="10" spans="1:9" ht="20.25" customHeight="1">
      <c r="A10" s="1658" t="s">
        <v>258</v>
      </c>
      <c r="B10" s="1659"/>
      <c r="C10" s="1660"/>
      <c r="D10" s="67">
        <v>5000000</v>
      </c>
      <c r="E10" s="67">
        <f>E9/63</f>
        <v>7327597.8228571424</v>
      </c>
      <c r="F10" s="67">
        <f>F9/67</f>
        <v>6102180.2332338309</v>
      </c>
      <c r="G10" s="67">
        <f>G9/67</f>
        <v>5942024.2829850754</v>
      </c>
      <c r="H10" s="67">
        <f>H9/67</f>
        <v>5764833.6561194034</v>
      </c>
      <c r="I10" s="67">
        <f>SUM(D10:H10)</f>
        <v>30136635.995195452</v>
      </c>
    </row>
    <row r="11" spans="1:9">
      <c r="A11" s="9"/>
      <c r="B11" s="9"/>
      <c r="C11" s="9"/>
      <c r="D11" s="9"/>
      <c r="E11" s="9"/>
      <c r="F11" s="9"/>
      <c r="G11" s="9"/>
      <c r="H11" s="9"/>
      <c r="I11" s="9"/>
    </row>
    <row r="12" spans="1:9">
      <c r="A12" s="9"/>
      <c r="B12" s="9"/>
      <c r="C12" s="9"/>
      <c r="D12" s="9"/>
      <c r="E12" s="9"/>
      <c r="F12" s="9"/>
      <c r="G12" s="9"/>
      <c r="H12" s="9"/>
      <c r="I12" s="9"/>
    </row>
    <row r="13" spans="1:9" ht="18.75">
      <c r="A13" s="68" t="s">
        <v>259</v>
      </c>
      <c r="B13" s="69"/>
      <c r="C13" s="69"/>
      <c r="D13" s="69"/>
      <c r="E13" s="69"/>
      <c r="F13" s="69"/>
      <c r="G13" s="69"/>
      <c r="H13" s="70"/>
      <c r="I13" s="71"/>
    </row>
    <row r="14" spans="1:9" ht="31.5">
      <c r="A14" s="72" t="s">
        <v>88</v>
      </c>
      <c r="B14" s="73" t="s">
        <v>126</v>
      </c>
      <c r="C14" s="74"/>
      <c r="D14" s="72" t="s">
        <v>247</v>
      </c>
      <c r="E14" s="72" t="s">
        <v>248</v>
      </c>
      <c r="F14" s="72" t="s">
        <v>249</v>
      </c>
      <c r="G14" s="72" t="s">
        <v>250</v>
      </c>
      <c r="H14" s="72" t="s">
        <v>251</v>
      </c>
      <c r="I14" s="10" t="s">
        <v>252</v>
      </c>
    </row>
    <row r="15" spans="1:9" ht="15.75">
      <c r="A15" s="11"/>
      <c r="B15" s="75"/>
      <c r="C15" s="76"/>
      <c r="D15" s="11" t="s">
        <v>253</v>
      </c>
      <c r="E15" s="11" t="s">
        <v>253</v>
      </c>
      <c r="F15" s="11" t="s">
        <v>254</v>
      </c>
      <c r="G15" s="11" t="s">
        <v>254</v>
      </c>
      <c r="H15" s="11" t="s">
        <v>253</v>
      </c>
      <c r="I15" s="11" t="s">
        <v>253</v>
      </c>
    </row>
    <row r="16" spans="1:9" ht="15.75">
      <c r="A16" s="12">
        <v>1</v>
      </c>
      <c r="B16" s="77" t="s">
        <v>127</v>
      </c>
      <c r="C16" s="78"/>
      <c r="D16" s="63">
        <v>56700000</v>
      </c>
      <c r="E16" s="63">
        <v>110300710.95999999</v>
      </c>
      <c r="F16" s="64">
        <v>64617715.626666702</v>
      </c>
      <c r="G16" s="63">
        <v>61263048.960000001</v>
      </c>
      <c r="H16" s="63">
        <v>56856798.960000001</v>
      </c>
      <c r="I16" s="64">
        <f>SUM(D16:H16)</f>
        <v>349738274.50666666</v>
      </c>
    </row>
    <row r="17" spans="1:9" ht="15.75">
      <c r="A17" s="12">
        <v>2</v>
      </c>
      <c r="B17" s="77" t="s">
        <v>85</v>
      </c>
      <c r="C17" s="78"/>
      <c r="D17" s="64">
        <v>31500000</v>
      </c>
      <c r="E17" s="64">
        <v>88617492</v>
      </c>
      <c r="F17" s="64">
        <v>66174992</v>
      </c>
      <c r="G17" s="64">
        <v>45024992</v>
      </c>
      <c r="H17" s="64">
        <v>40524992</v>
      </c>
      <c r="I17" s="64">
        <f>SUM(D17:H17)</f>
        <v>271842468</v>
      </c>
    </row>
    <row r="18" spans="1:9" ht="47.25">
      <c r="A18" s="12">
        <v>3</v>
      </c>
      <c r="B18" s="79" t="s">
        <v>128</v>
      </c>
      <c r="C18" s="14" t="s">
        <v>255</v>
      </c>
      <c r="D18" s="64">
        <v>0</v>
      </c>
      <c r="E18" s="64">
        <v>75600000</v>
      </c>
      <c r="F18" s="64">
        <v>80400000</v>
      </c>
      <c r="G18" s="64">
        <v>67000000</v>
      </c>
      <c r="H18" s="64">
        <v>67000000</v>
      </c>
      <c r="I18" s="64">
        <f>SUM(D18:H18)</f>
        <v>290000000</v>
      </c>
    </row>
    <row r="19" spans="1:9" ht="15.75">
      <c r="A19" s="12"/>
      <c r="B19" s="79"/>
      <c r="C19" s="14" t="s">
        <v>129</v>
      </c>
      <c r="D19" s="64">
        <v>22050000</v>
      </c>
      <c r="E19" s="64">
        <v>165605265</v>
      </c>
      <c r="F19" s="64">
        <v>170298255</v>
      </c>
      <c r="G19" s="64">
        <v>201857466</v>
      </c>
      <c r="H19" s="64">
        <v>194568536</v>
      </c>
      <c r="I19" s="64">
        <f>SUM(D19:H19)</f>
        <v>754379522</v>
      </c>
    </row>
    <row r="20" spans="1:9" ht="15.75">
      <c r="A20" s="12">
        <v>4</v>
      </c>
      <c r="B20" s="77" t="s">
        <v>256</v>
      </c>
      <c r="C20" s="78"/>
      <c r="D20" s="64">
        <v>15750000</v>
      </c>
      <c r="E20" s="64">
        <v>21515194.879999999</v>
      </c>
      <c r="F20" s="64">
        <v>27355113</v>
      </c>
      <c r="G20" s="64">
        <v>22970120</v>
      </c>
      <c r="H20" s="64">
        <v>27293528</v>
      </c>
      <c r="I20" s="64">
        <f>SUM(D20:H20)</f>
        <v>114883955.88</v>
      </c>
    </row>
    <row r="21" spans="1:9" ht="15.75">
      <c r="A21" s="80" t="s">
        <v>257</v>
      </c>
      <c r="B21" s="81"/>
      <c r="C21" s="82"/>
      <c r="D21" s="66">
        <f>SUM(D16:D20)</f>
        <v>126000000</v>
      </c>
      <c r="E21" s="66">
        <f>SUM(E16:E20)</f>
        <v>461638662.83999997</v>
      </c>
      <c r="F21" s="66">
        <f>SUM(F16:F20)</f>
        <v>408846075.62666667</v>
      </c>
      <c r="G21" s="66">
        <f>SUM(G16:G20)</f>
        <v>398115626.96000004</v>
      </c>
      <c r="H21" s="66">
        <f>SUM(H16:H20)</f>
        <v>386243854.96000004</v>
      </c>
      <c r="I21" s="66">
        <f>SUM(I16+I18+I17+I20+I19)</f>
        <v>1780844220.3866668</v>
      </c>
    </row>
    <row r="22" spans="1:9" ht="15.75">
      <c r="A22" s="83" t="s">
        <v>258</v>
      </c>
      <c r="B22" s="84"/>
      <c r="C22" s="85"/>
      <c r="D22" s="67">
        <v>20000000</v>
      </c>
      <c r="E22" s="67">
        <f>E21/63</f>
        <v>7327597.8228571424</v>
      </c>
      <c r="F22" s="67">
        <f>F21/67</f>
        <v>6102180.2332338309</v>
      </c>
      <c r="G22" s="67">
        <f>G21/67</f>
        <v>5942024.2829850754</v>
      </c>
      <c r="H22" s="67">
        <f>H21/67</f>
        <v>5764833.6561194034</v>
      </c>
      <c r="I22" s="67">
        <f>SUM(D22:H22)</f>
        <v>45136635.995195456</v>
      </c>
    </row>
    <row r="23" spans="1:9">
      <c r="A23" s="9"/>
      <c r="B23" s="9"/>
      <c r="C23" s="9"/>
      <c r="D23" s="9"/>
      <c r="E23" s="9"/>
      <c r="F23" s="9"/>
      <c r="G23" s="9"/>
      <c r="H23" s="9"/>
      <c r="I23" s="9"/>
    </row>
    <row r="24" spans="1:9">
      <c r="A24" s="9"/>
      <c r="B24" s="9"/>
      <c r="C24" s="9"/>
      <c r="D24" s="9"/>
      <c r="E24" s="9"/>
      <c r="F24" s="9"/>
      <c r="G24" s="9"/>
      <c r="H24" s="9"/>
      <c r="I24" s="9"/>
    </row>
    <row r="25" spans="1:9">
      <c r="A25" s="9"/>
      <c r="B25" s="9"/>
      <c r="C25" s="9"/>
      <c r="D25" s="9"/>
      <c r="E25" s="9"/>
      <c r="F25" s="9"/>
      <c r="G25" s="9"/>
      <c r="H25" s="9"/>
      <c r="I25" s="9"/>
    </row>
    <row r="26" spans="1:9">
      <c r="A26" s="9"/>
      <c r="B26" s="9"/>
      <c r="C26" s="9"/>
      <c r="D26" s="9"/>
      <c r="E26" s="9"/>
      <c r="F26" s="9"/>
      <c r="G26" s="9"/>
      <c r="H26" s="9"/>
      <c r="I26" s="9"/>
    </row>
    <row r="27" spans="1:9">
      <c r="A27" s="9"/>
      <c r="B27" s="9"/>
      <c r="C27" s="9"/>
      <c r="D27" s="9"/>
      <c r="E27" s="9"/>
      <c r="F27" s="9"/>
      <c r="G27" s="9"/>
      <c r="H27" s="9"/>
      <c r="I27" s="9"/>
    </row>
    <row r="28" spans="1:9">
      <c r="A28" s="9"/>
      <c r="B28" s="9"/>
      <c r="C28" s="9"/>
      <c r="D28" s="9"/>
      <c r="E28" s="9"/>
      <c r="F28" s="9"/>
      <c r="G28" s="9"/>
      <c r="H28" s="9"/>
      <c r="I28" s="9"/>
    </row>
    <row r="29" spans="1:9">
      <c r="A29" s="9"/>
      <c r="B29" s="9"/>
      <c r="C29" s="9"/>
      <c r="D29" s="9"/>
      <c r="E29" s="9"/>
      <c r="F29" s="9"/>
      <c r="G29" s="9"/>
      <c r="H29" s="9"/>
      <c r="I29" s="9"/>
    </row>
    <row r="30" spans="1:9">
      <c r="A30" s="9"/>
      <c r="B30" s="9"/>
      <c r="C30" s="9"/>
      <c r="D30" s="9"/>
      <c r="E30" s="9"/>
      <c r="F30" s="9"/>
      <c r="G30" s="9"/>
      <c r="H30" s="9"/>
      <c r="I30" s="9"/>
    </row>
    <row r="31" spans="1:9">
      <c r="A31" s="9"/>
      <c r="B31" s="9"/>
      <c r="C31" s="9"/>
      <c r="D31" s="9"/>
      <c r="E31" s="9"/>
      <c r="F31" s="9"/>
      <c r="G31" s="9"/>
      <c r="H31" s="9"/>
      <c r="I31" s="9"/>
    </row>
    <row r="32" spans="1:9">
      <c r="A32" s="9"/>
      <c r="B32" s="9"/>
      <c r="C32" s="9"/>
      <c r="D32" s="9"/>
      <c r="E32" s="9"/>
      <c r="F32" s="9"/>
      <c r="G32" s="9"/>
      <c r="H32" s="9"/>
      <c r="I32" s="9"/>
    </row>
    <row r="33" spans="1:9">
      <c r="A33" s="9"/>
      <c r="B33" s="9"/>
      <c r="C33" s="9"/>
      <c r="D33" s="9"/>
      <c r="E33" s="9"/>
      <c r="F33" s="9"/>
      <c r="G33" s="9"/>
      <c r="H33" s="9"/>
      <c r="I33" s="9"/>
    </row>
    <row r="34" spans="1:9">
      <c r="A34" s="9"/>
      <c r="B34" s="9"/>
      <c r="C34" s="9"/>
      <c r="D34" s="9"/>
      <c r="E34" s="9"/>
      <c r="F34" s="9"/>
      <c r="G34" s="9"/>
      <c r="H34" s="9"/>
      <c r="I34" s="9"/>
    </row>
    <row r="35" spans="1:9">
      <c r="A35" s="9"/>
      <c r="B35" s="9"/>
      <c r="C35" s="9"/>
      <c r="D35" s="9"/>
      <c r="E35" s="9"/>
      <c r="F35" s="9"/>
      <c r="G35" s="9"/>
      <c r="H35" s="9"/>
      <c r="I35" s="9"/>
    </row>
    <row r="36" spans="1:9">
      <c r="A36" s="9"/>
      <c r="B36" s="9"/>
      <c r="C36" s="9"/>
      <c r="D36" s="9"/>
      <c r="E36" s="9"/>
      <c r="F36" s="9"/>
      <c r="G36" s="9"/>
      <c r="H36" s="9"/>
      <c r="I36" s="9"/>
    </row>
    <row r="37" spans="1:9">
      <c r="A37" s="9"/>
      <c r="B37" s="9"/>
      <c r="C37" s="9"/>
      <c r="D37" s="9"/>
      <c r="E37" s="9"/>
      <c r="F37" s="9"/>
      <c r="G37" s="9"/>
      <c r="H37" s="9"/>
      <c r="I37" s="9"/>
    </row>
    <row r="38" spans="1:9" ht="21.75" customHeight="1">
      <c r="A38" s="1661" t="s">
        <v>260</v>
      </c>
      <c r="B38" s="1661"/>
      <c r="C38" s="1661"/>
      <c r="D38" s="1661"/>
      <c r="E38" s="1661"/>
      <c r="F38" s="1661"/>
      <c r="G38" s="1661"/>
      <c r="H38" s="1661"/>
      <c r="I38" s="1661"/>
    </row>
    <row r="39" spans="1:9" ht="31.5">
      <c r="A39" s="1356" t="s">
        <v>88</v>
      </c>
      <c r="B39" s="1662" t="s">
        <v>126</v>
      </c>
      <c r="C39" s="1663"/>
      <c r="D39" s="11" t="s">
        <v>247</v>
      </c>
      <c r="E39" s="11" t="s">
        <v>248</v>
      </c>
      <c r="F39" s="11" t="s">
        <v>249</v>
      </c>
      <c r="G39" s="11" t="s">
        <v>250</v>
      </c>
      <c r="H39" s="11" t="s">
        <v>251</v>
      </c>
      <c r="I39" s="10" t="s">
        <v>252</v>
      </c>
    </row>
    <row r="40" spans="1:9" ht="21" customHeight="1">
      <c r="A40" s="1356"/>
      <c r="B40" s="1664"/>
      <c r="C40" s="1665"/>
      <c r="D40" s="11" t="s">
        <v>261</v>
      </c>
      <c r="E40" s="11" t="s">
        <v>261</v>
      </c>
      <c r="F40" s="11" t="s">
        <v>261</v>
      </c>
      <c r="G40" s="11" t="s">
        <v>261</v>
      </c>
      <c r="H40" s="11" t="s">
        <v>261</v>
      </c>
      <c r="I40" s="11" t="s">
        <v>261</v>
      </c>
    </row>
    <row r="41" spans="1:9" s="65" customFormat="1" ht="24" customHeight="1">
      <c r="A41" s="12">
        <v>1</v>
      </c>
      <c r="B41" s="1656" t="s">
        <v>127</v>
      </c>
      <c r="C41" s="1657"/>
      <c r="D41" s="64">
        <v>900000</v>
      </c>
      <c r="E41" s="63">
        <f>110300710.96/63</f>
        <v>1750804.9358730158</v>
      </c>
      <c r="F41" s="64">
        <f>64617715.6266667/67</f>
        <v>964443.51681592094</v>
      </c>
      <c r="G41" s="63">
        <f>61263048.96/67</f>
        <v>914373.86507462687</v>
      </c>
      <c r="H41" s="63">
        <f>56856798.96/67</f>
        <v>848608.93970149255</v>
      </c>
      <c r="I41" s="64">
        <f>SUM(D41:H41)</f>
        <v>5378231.2574650561</v>
      </c>
    </row>
    <row r="42" spans="1:9" s="65" customFormat="1" ht="24" customHeight="1">
      <c r="A42" s="12">
        <v>2</v>
      </c>
      <c r="B42" s="1656" t="s">
        <v>85</v>
      </c>
      <c r="C42" s="1657"/>
      <c r="D42" s="64">
        <v>500000</v>
      </c>
      <c r="E42" s="64">
        <f>88617492/63</f>
        <v>1406626.857142857</v>
      </c>
      <c r="F42" s="64">
        <f>66174992/67</f>
        <v>987686.44776119408</v>
      </c>
      <c r="G42" s="64">
        <f>45024992/67</f>
        <v>672014.80597014923</v>
      </c>
      <c r="H42" s="64">
        <f>40524992/67</f>
        <v>604850.6268656716</v>
      </c>
      <c r="I42" s="64">
        <f>SUM(D42:H42)</f>
        <v>4171178.7377398717</v>
      </c>
    </row>
    <row r="43" spans="1:9" s="65" customFormat="1" ht="30.75" customHeight="1">
      <c r="A43" s="1666">
        <v>3</v>
      </c>
      <c r="B43" s="1667" t="s">
        <v>128</v>
      </c>
      <c r="C43" s="14" t="s">
        <v>262</v>
      </c>
      <c r="D43" s="64">
        <v>350000</v>
      </c>
      <c r="E43" s="64">
        <f>75600000/63</f>
        <v>1200000</v>
      </c>
      <c r="F43" s="64">
        <f>80400000/67</f>
        <v>1200000</v>
      </c>
      <c r="G43" s="64">
        <f>67000000/67</f>
        <v>1000000</v>
      </c>
      <c r="H43" s="64">
        <f>67000000/67</f>
        <v>1000000</v>
      </c>
      <c r="I43" s="64">
        <f>SUM(D43:H43)</f>
        <v>4750000</v>
      </c>
    </row>
    <row r="44" spans="1:9" s="65" customFormat="1" ht="24" customHeight="1">
      <c r="A44" s="1666"/>
      <c r="B44" s="1667"/>
      <c r="C44" s="14" t="s">
        <v>129</v>
      </c>
      <c r="D44" s="64">
        <v>3000000</v>
      </c>
      <c r="E44" s="64">
        <f>165605265/63</f>
        <v>2628655</v>
      </c>
      <c r="F44" s="64">
        <f>170298255/67</f>
        <v>2541765</v>
      </c>
      <c r="G44" s="64">
        <f>201857466/67</f>
        <v>3012798</v>
      </c>
      <c r="H44" s="64">
        <f>194568536/67</f>
        <v>2904008</v>
      </c>
      <c r="I44" s="64">
        <f>SUM(D44:H44)</f>
        <v>14087226</v>
      </c>
    </row>
    <row r="45" spans="1:9" s="65" customFormat="1" ht="24" customHeight="1">
      <c r="A45" s="12">
        <v>4</v>
      </c>
      <c r="B45" s="1656" t="s">
        <v>81</v>
      </c>
      <c r="C45" s="1657"/>
      <c r="D45" s="64">
        <v>250000</v>
      </c>
      <c r="E45" s="64">
        <f>21515194.88/63</f>
        <v>341511.02984126983</v>
      </c>
      <c r="F45" s="64">
        <f>27355113/67</f>
        <v>408285.26865671639</v>
      </c>
      <c r="G45" s="64">
        <f>22970120/67</f>
        <v>342837.61194029852</v>
      </c>
      <c r="H45" s="64">
        <f>27293528/67</f>
        <v>407366.08955223882</v>
      </c>
      <c r="I45" s="64">
        <f>SUM(D45:H45)</f>
        <v>1749999.9999905236</v>
      </c>
    </row>
    <row r="46" spans="1:9" ht="20.25" customHeight="1">
      <c r="A46" s="1653" t="s">
        <v>258</v>
      </c>
      <c r="B46" s="1654"/>
      <c r="C46" s="1655"/>
      <c r="D46" s="66">
        <v>5000000</v>
      </c>
      <c r="E46" s="66">
        <f>SUM(E41:E45)</f>
        <v>7327597.8228571434</v>
      </c>
      <c r="F46" s="66">
        <f>SUM(F41:F45)</f>
        <v>6102180.2332338318</v>
      </c>
      <c r="G46" s="66">
        <f>SUM(G41:G45)</f>
        <v>5942024.2829850744</v>
      </c>
      <c r="H46" s="66">
        <f>SUM(H41:H45)</f>
        <v>5764833.6561194025</v>
      </c>
      <c r="I46" s="66">
        <f>SUM(I41+I43+I42+I45+I44)</f>
        <v>30136635.995195452</v>
      </c>
    </row>
    <row r="49" spans="9:9">
      <c r="I49" s="86"/>
    </row>
  </sheetData>
  <mergeCells count="19">
    <mergeCell ref="A6:A7"/>
    <mergeCell ref="B6:B7"/>
    <mergeCell ref="A1:I1"/>
    <mergeCell ref="A2:A3"/>
    <mergeCell ref="B2:C3"/>
    <mergeCell ref="B4:C4"/>
    <mergeCell ref="B5:C5"/>
    <mergeCell ref="A46:C46"/>
    <mergeCell ref="B8:C8"/>
    <mergeCell ref="A9:C9"/>
    <mergeCell ref="A10:C10"/>
    <mergeCell ref="A38:I38"/>
    <mergeCell ref="A39:A40"/>
    <mergeCell ref="B39:C40"/>
    <mergeCell ref="B41:C41"/>
    <mergeCell ref="B42:C42"/>
    <mergeCell ref="A43:A44"/>
    <mergeCell ref="B43:B44"/>
    <mergeCell ref="B45:C45"/>
  </mergeCells>
  <pageMargins left="0.35416666666666702" right="0.42708333333333298" top="0.75" bottom="0.75" header="0.3" footer="0.3"/>
  <pageSetup scale="8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1</vt:i4>
      </vt:variant>
      <vt:variant>
        <vt:lpstr>Named Ranges</vt:lpstr>
      </vt:variant>
      <vt:variant>
        <vt:i4>2</vt:i4>
      </vt:variant>
    </vt:vector>
  </HeadingPairs>
  <TitlesOfParts>
    <vt:vector size="12" baseType="lpstr">
      <vt:lpstr>پلان تطبیقی برنامه 1397</vt:lpstr>
      <vt:lpstr>پلان مالی سالانه به تفکیک ماه96</vt:lpstr>
      <vt:lpstr>پلان گاری سالانه با نواقص</vt:lpstr>
      <vt:lpstr>فارمت تدارکات</vt:lpstr>
      <vt:lpstr>Financial Plan with errors</vt:lpstr>
      <vt:lpstr>B41397 with errors </vt:lpstr>
      <vt:lpstr>b4 </vt:lpstr>
      <vt:lpstr>جد.ل مالی برای پرو›ه </vt:lpstr>
      <vt:lpstr>بودجه توحیدی سالانه و 5 ساله بر</vt:lpstr>
      <vt:lpstr>Chart1</vt:lpstr>
      <vt:lpstr>'پلان گاری سالانه با نواقص'!Print_Area</vt:lpstr>
      <vt:lpstr>'پلان مالی سالانه به تفکیک ماه96'!Print_Area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refuddin.amini</dc:creator>
  <cp:lastModifiedBy>Windows User</cp:lastModifiedBy>
  <cp:lastPrinted>2019-12-26T06:26:06Z</cp:lastPrinted>
  <dcterms:created xsi:type="dcterms:W3CDTF">2016-01-03T06:41:24Z</dcterms:created>
  <dcterms:modified xsi:type="dcterms:W3CDTF">2019-12-26T06:31:25Z</dcterms:modified>
</cp:coreProperties>
</file>